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Для сайта\"/>
    </mc:Choice>
  </mc:AlternateContent>
  <bookViews>
    <workbookView xWindow="0" yWindow="0" windowWidth="28800" windowHeight="12209" firstSheet="16" activeTab="16"/>
  </bookViews>
  <sheets>
    <sheet name="Для Магдеева" sheetId="36" state="hidden" r:id="rId1"/>
    <sheet name="для грц" sheetId="34" state="hidden" r:id="rId2"/>
    <sheet name="нежилые" sheetId="69" state="hidden" r:id="rId3"/>
    <sheet name="маст + под-ды" sheetId="66" state="hidden" r:id="rId4"/>
    <sheet name="Ресурсы" sheetId="60" state="hidden" r:id="rId5"/>
    <sheet name="лифты" sheetId="59" state="hidden" r:id="rId6"/>
    <sheet name="для ПРОКУРАТУРЫ" sheetId="52" state="hidden" r:id="rId7"/>
    <sheet name="исполком" sheetId="57" state="hidden" r:id="rId8"/>
    <sheet name="старшие" sheetId="46" state="hidden" r:id="rId9"/>
    <sheet name="диспетчерам" sheetId="38" state="hidden" r:id="rId10"/>
    <sheet name="Старшие  старые" sheetId="17" state="hidden" r:id="rId11"/>
    <sheet name="Протокола  УК" sheetId="19" state="hidden" r:id="rId12"/>
    <sheet name="Бесхозные сети" sheetId="12" state="hidden" r:id="rId13"/>
    <sheet name="1 основа (2)" sheetId="61" state="hidden" r:id="rId14"/>
    <sheet name="1 основа (3)" sheetId="62" state="hidden" r:id="rId15"/>
    <sheet name="1 основа (4)" sheetId="63" state="hidden" r:id="rId16"/>
    <sheet name="Жилищный фонд" sheetId="74" r:id="rId17"/>
  </sheets>
  <definedNames>
    <definedName name="_xlnm._FilterDatabase" localSheetId="14" hidden="1">'1 основа (3)'!$A$3:$CQ$3</definedName>
    <definedName name="_xlnm._FilterDatabase" localSheetId="16" hidden="1">'Жилищный фонд'!$A$3:$AB$70</definedName>
    <definedName name="_xlnm._FilterDatabase" localSheetId="7" hidden="1">исполком!$A$2:$L$38</definedName>
    <definedName name="_xlnm._FilterDatabase" localSheetId="3" hidden="1">'маст + под-ды'!$A$3:$G$58</definedName>
    <definedName name="_xlnm._FilterDatabase" localSheetId="8" hidden="1">старшие!$A$3:$O$39</definedName>
    <definedName name="_xlnm.Print_Titles" localSheetId="13">'1 основа (2)'!$B:$B</definedName>
    <definedName name="_xlnm.Print_Titles" localSheetId="14">'1 основа (3)'!$B:$B</definedName>
    <definedName name="_xlnm.Print_Titles" localSheetId="15">'1 основа (4)'!$B:$B</definedName>
    <definedName name="_xlnm.Print_Titles" localSheetId="9">диспетчерам!$B:$B</definedName>
    <definedName name="_xlnm.Print_Titles" localSheetId="1">'для грц'!$B:$B</definedName>
    <definedName name="_xlnm.Print_Titles" localSheetId="0">'Для Магдеева'!$B:$B</definedName>
    <definedName name="_xlnm.Print_Titles" localSheetId="16">'Жилищный фонд'!$B:$B</definedName>
    <definedName name="_xlnm.Print_Titles" localSheetId="7">исполком!$B:$B</definedName>
    <definedName name="_xlnm.Print_Titles" localSheetId="3">'маст + под-ды'!$B:$B</definedName>
    <definedName name="_xlnm.Print_Area" localSheetId="13">'1 основа (2)'!$A$1:$J$44</definedName>
    <definedName name="_xlnm.Print_Area" localSheetId="14">'1 основа (3)'!$A$1:$CQ$46</definedName>
    <definedName name="_xlnm.Print_Area" localSheetId="15">'1 основа (4)'!$A$1:$K$45</definedName>
    <definedName name="_xlnm.Print_Area" localSheetId="12">'Бесхозные сети'!$A$1:$Z$21</definedName>
    <definedName name="_xlnm.Print_Area" localSheetId="9">диспетчерам!$A$2:$D$27</definedName>
    <definedName name="_xlnm.Print_Area" localSheetId="1">'для грц'!$A$1:$J$22</definedName>
    <definedName name="_xlnm.Print_Area" localSheetId="0">'Для Магдеева'!$A$1:$AH$24</definedName>
    <definedName name="_xlnm.Print_Area" localSheetId="16">'Жилищный фонд'!$A$1:$Y$71</definedName>
    <definedName name="_xlnm.Print_Area" localSheetId="7">исполком!$A$1:$L$38</definedName>
    <definedName name="_xlnm.Print_Area" localSheetId="3">'маст + под-ды'!$A$1:$F$59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71" i="74" l="1"/>
  <c r="N71" i="74"/>
  <c r="L71" i="74"/>
  <c r="J71" i="74"/>
  <c r="M4" i="74"/>
  <c r="Z71" i="74"/>
  <c r="Y71" i="74"/>
  <c r="X71" i="74"/>
  <c r="W71" i="74"/>
  <c r="V71" i="74"/>
  <c r="U71" i="74"/>
  <c r="T71" i="74"/>
  <c r="S71" i="74"/>
  <c r="K71" i="74"/>
  <c r="M70" i="74"/>
  <c r="M69" i="74"/>
  <c r="M68" i="74"/>
  <c r="M67" i="74"/>
  <c r="M66" i="74"/>
  <c r="M65" i="74"/>
  <c r="M64" i="74"/>
  <c r="M63" i="74"/>
  <c r="M62" i="74"/>
  <c r="M61" i="74"/>
  <c r="M60" i="74"/>
  <c r="M59" i="74"/>
  <c r="M58" i="74"/>
  <c r="M57" i="74"/>
  <c r="M56" i="74"/>
  <c r="M55" i="74"/>
  <c r="M54" i="74"/>
  <c r="M53" i="74"/>
  <c r="M52" i="74"/>
  <c r="M51" i="74"/>
  <c r="M50" i="74"/>
  <c r="M49" i="74"/>
  <c r="Q48" i="74"/>
  <c r="Q71" i="74" s="1"/>
  <c r="M48" i="74"/>
  <c r="M47" i="74"/>
  <c r="M46" i="74"/>
  <c r="P45" i="74"/>
  <c r="M45" i="74"/>
  <c r="P44" i="74"/>
  <c r="M44" i="74"/>
  <c r="P43" i="74"/>
  <c r="M43" i="74"/>
  <c r="P42" i="74"/>
  <c r="M42" i="74"/>
  <c r="P41" i="74"/>
  <c r="M41" i="74"/>
  <c r="P40" i="74"/>
  <c r="M40" i="74"/>
  <c r="P39" i="74"/>
  <c r="M39" i="74"/>
  <c r="M38" i="74"/>
  <c r="P37" i="74"/>
  <c r="M37" i="74"/>
  <c r="P36" i="74"/>
  <c r="M36" i="74"/>
  <c r="P35" i="74"/>
  <c r="M35" i="74"/>
  <c r="P34" i="74"/>
  <c r="M34" i="74"/>
  <c r="P33" i="74"/>
  <c r="M33" i="74"/>
  <c r="AA32" i="74"/>
  <c r="R32" i="74"/>
  <c r="P32" i="74" s="1"/>
  <c r="M32" i="74"/>
  <c r="P31" i="74"/>
  <c r="M31" i="74"/>
  <c r="P30" i="74"/>
  <c r="M30" i="74"/>
  <c r="P29" i="74"/>
  <c r="M29" i="74"/>
  <c r="P28" i="74"/>
  <c r="M28" i="74"/>
  <c r="P27" i="74"/>
  <c r="M27" i="74"/>
  <c r="P26" i="74"/>
  <c r="M26" i="74"/>
  <c r="P25" i="74"/>
  <c r="M25" i="74"/>
  <c r="P24" i="74"/>
  <c r="M24" i="74"/>
  <c r="P23" i="74"/>
  <c r="M23" i="74"/>
  <c r="P22" i="74"/>
  <c r="M22" i="74"/>
  <c r="P21" i="74"/>
  <c r="M21" i="74"/>
  <c r="P20" i="74"/>
  <c r="M20" i="74"/>
  <c r="AA19" i="74"/>
  <c r="P19" i="74"/>
  <c r="M19" i="74"/>
  <c r="AA18" i="74"/>
  <c r="P18" i="74"/>
  <c r="M18" i="74"/>
  <c r="AA17" i="74"/>
  <c r="P17" i="74"/>
  <c r="M17" i="74"/>
  <c r="AA16" i="74"/>
  <c r="P16" i="74"/>
  <c r="M16" i="74"/>
  <c r="AA15" i="74"/>
  <c r="P15" i="74"/>
  <c r="M15" i="74"/>
  <c r="P14" i="74"/>
  <c r="M14" i="74"/>
  <c r="P13" i="74"/>
  <c r="M13" i="74"/>
  <c r="P12" i="74"/>
  <c r="M12" i="74"/>
  <c r="P11" i="74"/>
  <c r="M11" i="74"/>
  <c r="P10" i="74"/>
  <c r="M10" i="74"/>
  <c r="P9" i="74"/>
  <c r="M9" i="74"/>
  <c r="P8" i="74"/>
  <c r="M8" i="74"/>
  <c r="AA7" i="74"/>
  <c r="R7" i="74"/>
  <c r="M7" i="74"/>
  <c r="P6" i="74"/>
  <c r="M6" i="74"/>
  <c r="P5" i="74"/>
  <c r="M5" i="74"/>
  <c r="P4" i="74"/>
  <c r="M71" i="74" l="1"/>
  <c r="R71" i="74"/>
  <c r="P7" i="74"/>
  <c r="P71" i="74" s="1"/>
  <c r="AA71" i="74"/>
  <c r="E3" i="69" l="1"/>
  <c r="E4" i="69"/>
  <c r="E5" i="69"/>
  <c r="E6" i="69"/>
  <c r="E7" i="69"/>
  <c r="E8" i="69"/>
  <c r="E9" i="69"/>
  <c r="E10" i="69"/>
  <c r="E11" i="69"/>
  <c r="E12" i="69"/>
  <c r="E13" i="69"/>
  <c r="E14" i="69"/>
  <c r="E15" i="69"/>
  <c r="E16" i="69"/>
  <c r="E17" i="69"/>
  <c r="E18" i="69"/>
  <c r="E19" i="69"/>
  <c r="E20" i="69"/>
  <c r="E21" i="69"/>
  <c r="E22" i="69"/>
  <c r="E23" i="69"/>
  <c r="E24" i="69"/>
  <c r="E25" i="69"/>
  <c r="E26" i="69"/>
  <c r="E27" i="69"/>
  <c r="E28" i="69"/>
  <c r="E29" i="69"/>
  <c r="E30" i="69"/>
  <c r="E31" i="69"/>
  <c r="E32" i="69"/>
  <c r="E33" i="69"/>
  <c r="E34" i="69"/>
  <c r="E35" i="69"/>
  <c r="E36" i="69"/>
  <c r="E37" i="69"/>
  <c r="E38" i="69"/>
  <c r="E39" i="69"/>
  <c r="E40" i="69"/>
  <c r="E41" i="69"/>
  <c r="E42" i="69"/>
  <c r="E43" i="69"/>
  <c r="B44" i="69"/>
  <c r="C44" i="69"/>
  <c r="D44" i="69"/>
  <c r="E44" i="69"/>
  <c r="F59" i="66" l="1"/>
  <c r="F54" i="66"/>
  <c r="F46" i="66"/>
  <c r="F34" i="66"/>
  <c r="F25" i="66"/>
  <c r="F17" i="66"/>
  <c r="F14" i="66"/>
  <c r="F4" i="66"/>
  <c r="E59" i="66"/>
  <c r="K23" i="63" l="1"/>
  <c r="K9" i="63"/>
  <c r="K10" i="63"/>
  <c r="K6" i="63"/>
  <c r="K21" i="63"/>
  <c r="K40" i="63"/>
  <c r="K31" i="63"/>
  <c r="K17" i="63"/>
  <c r="K26" i="63"/>
  <c r="K13" i="63"/>
  <c r="K25" i="63"/>
  <c r="K12" i="63"/>
  <c r="K33" i="63"/>
  <c r="K28" i="63"/>
  <c r="K27" i="63"/>
  <c r="K3" i="63"/>
  <c r="K15" i="63"/>
  <c r="K8" i="63"/>
  <c r="K44" i="63"/>
  <c r="K29" i="63"/>
  <c r="K18" i="63"/>
  <c r="K11" i="63"/>
  <c r="K14" i="63"/>
  <c r="K22" i="63"/>
  <c r="K41" i="63"/>
  <c r="K35" i="63"/>
  <c r="K37" i="63"/>
  <c r="K30" i="63"/>
  <c r="K38" i="63"/>
  <c r="K19" i="63"/>
  <c r="K16" i="63"/>
  <c r="K32" i="63"/>
  <c r="K20" i="63"/>
  <c r="K43" i="63"/>
  <c r="K45" i="63"/>
  <c r="K34" i="63"/>
  <c r="K7" i="63"/>
  <c r="K39" i="63"/>
  <c r="K5" i="63"/>
  <c r="K4" i="63"/>
  <c r="K24" i="63"/>
  <c r="K36" i="63"/>
  <c r="K42" i="63"/>
  <c r="AC46" i="62"/>
  <c r="AC45" i="62"/>
  <c r="AC44" i="62"/>
  <c r="AC43" i="62"/>
  <c r="AC42" i="62"/>
  <c r="AC41" i="62"/>
  <c r="CM40" i="62"/>
  <c r="BB40" i="62"/>
  <c r="AR40" i="62"/>
  <c r="AE40" i="62"/>
  <c r="AC40" i="62" s="1"/>
  <c r="BB39" i="62"/>
  <c r="AE39" i="62"/>
  <c r="AC39" i="62" s="1"/>
  <c r="CM38" i="62"/>
  <c r="BB38" i="62"/>
  <c r="AG38" i="62"/>
  <c r="AE38" i="62" s="1"/>
  <c r="AC38" i="62" s="1"/>
  <c r="V38" i="62"/>
  <c r="CM37" i="62"/>
  <c r="BB37" i="62"/>
  <c r="AE37" i="62"/>
  <c r="AC37" i="62" s="1"/>
  <c r="CM35" i="62"/>
  <c r="BB35" i="62"/>
  <c r="AG35" i="62"/>
  <c r="AE35" i="62" s="1"/>
  <c r="AC35" i="62" s="1"/>
  <c r="V35" i="62"/>
  <c r="CM36" i="62"/>
  <c r="BB36" i="62"/>
  <c r="AE36" i="62"/>
  <c r="AC36" i="62" s="1"/>
  <c r="V36" i="62"/>
  <c r="BB34" i="62"/>
  <c r="AE34" i="62"/>
  <c r="AC34" i="62" s="1"/>
  <c r="V34" i="62"/>
  <c r="CM33" i="62"/>
  <c r="CL33" i="62"/>
  <c r="BB33" i="62"/>
  <c r="AG33" i="62"/>
  <c r="AE33" i="62" s="1"/>
  <c r="AC33" i="62" s="1"/>
  <c r="V33" i="62"/>
  <c r="CP32" i="62"/>
  <c r="CM32" i="62"/>
  <c r="CL32" i="62"/>
  <c r="BB32" i="62"/>
  <c r="AE32" i="62"/>
  <c r="AC32" i="62" s="1"/>
  <c r="V32" i="62"/>
  <c r="CM31" i="62"/>
  <c r="CL31" i="62"/>
  <c r="BB31" i="62"/>
  <c r="AE31" i="62"/>
  <c r="AC31" i="62" s="1"/>
  <c r="V31" i="62"/>
  <c r="CM30" i="62"/>
  <c r="CK30" i="62"/>
  <c r="CL30" i="62" s="1"/>
  <c r="BB30" i="62"/>
  <c r="AE30" i="62"/>
  <c r="AC30" i="62" s="1"/>
  <c r="V30" i="62"/>
  <c r="BB29" i="62"/>
  <c r="AG29" i="62"/>
  <c r="AE29" i="62" s="1"/>
  <c r="AC29" i="62" s="1"/>
  <c r="V29" i="62"/>
  <c r="BB28" i="62"/>
  <c r="AK28" i="62"/>
  <c r="AE28" i="62"/>
  <c r="AC28" i="62" s="1"/>
  <c r="V28" i="62"/>
  <c r="BB27" i="62"/>
  <c r="AE27" i="62"/>
  <c r="AC27" i="62" s="1"/>
  <c r="V27" i="62"/>
  <c r="BB26" i="62"/>
  <c r="AE26" i="62"/>
  <c r="AC26" i="62" s="1"/>
  <c r="V26" i="62"/>
  <c r="BB25" i="62"/>
  <c r="AE25" i="62"/>
  <c r="AC25" i="62" s="1"/>
  <c r="V25" i="62"/>
  <c r="BB24" i="62"/>
  <c r="AE24" i="62"/>
  <c r="AC24" i="62" s="1"/>
  <c r="V24" i="62"/>
  <c r="BB23" i="62"/>
  <c r="AE23" i="62"/>
  <c r="AC23" i="62" s="1"/>
  <c r="V23" i="62"/>
  <c r="BB22" i="62"/>
  <c r="AE22" i="62"/>
  <c r="AD22" i="62"/>
  <c r="V22" i="62"/>
  <c r="BB21" i="62"/>
  <c r="AR21" i="62"/>
  <c r="AE21" i="62"/>
  <c r="AC21" i="62" s="1"/>
  <c r="V21" i="62"/>
  <c r="BB20" i="62"/>
  <c r="AE20" i="62"/>
  <c r="AC20" i="62" s="1"/>
  <c r="V20" i="62"/>
  <c r="CP19" i="62"/>
  <c r="BB19" i="62"/>
  <c r="AC19" i="62"/>
  <c r="V19" i="62"/>
  <c r="CP18" i="62"/>
  <c r="BB18" i="62"/>
  <c r="AE18" i="62"/>
  <c r="AC18" i="62" s="1"/>
  <c r="V18" i="62"/>
  <c r="CP17" i="62"/>
  <c r="BB17" i="62"/>
  <c r="AR17" i="62"/>
  <c r="AE17" i="62"/>
  <c r="AC17" i="62" s="1"/>
  <c r="V17" i="62"/>
  <c r="CP16" i="62"/>
  <c r="BB16" i="62"/>
  <c r="AE16" i="62"/>
  <c r="AC16" i="62" s="1"/>
  <c r="V16" i="62"/>
  <c r="CP15" i="62"/>
  <c r="BB15" i="62"/>
  <c r="AR15" i="62"/>
  <c r="AE15" i="62"/>
  <c r="AC15" i="62" s="1"/>
  <c r="V15" i="62"/>
  <c r="BB14" i="62"/>
  <c r="AE14" i="62"/>
  <c r="AC14" i="62" s="1"/>
  <c r="V14" i="62"/>
  <c r="BB13" i="62"/>
  <c r="AE13" i="62"/>
  <c r="AC13" i="62" s="1"/>
  <c r="V13" i="62"/>
  <c r="BB12" i="62"/>
  <c r="AE12" i="62"/>
  <c r="AC12" i="62" s="1"/>
  <c r="V12" i="62"/>
  <c r="BB11" i="62"/>
  <c r="AE11" i="62"/>
  <c r="AC11" i="62" s="1"/>
  <c r="V11" i="62"/>
  <c r="BB10" i="62"/>
  <c r="AE10" i="62"/>
  <c r="AC10" i="62" s="1"/>
  <c r="V10" i="62"/>
  <c r="BB9" i="62"/>
  <c r="AE9" i="62"/>
  <c r="AC9" i="62" s="1"/>
  <c r="V9" i="62"/>
  <c r="BB8" i="62"/>
  <c r="AS8" i="62"/>
  <c r="AE8" i="62"/>
  <c r="AC8" i="62" s="1"/>
  <c r="V8" i="62"/>
  <c r="CP7" i="62"/>
  <c r="BB7" i="62"/>
  <c r="AE7" i="62"/>
  <c r="AC7" i="62" s="1"/>
  <c r="V7" i="62"/>
  <c r="BB6" i="62"/>
  <c r="AQ6" i="62"/>
  <c r="AE6" i="62"/>
  <c r="AC6" i="62" s="1"/>
  <c r="V6" i="62"/>
  <c r="BB5" i="62"/>
  <c r="AQ5" i="62"/>
  <c r="AE5" i="62"/>
  <c r="AC5" i="62" s="1"/>
  <c r="V5" i="62"/>
  <c r="CN4" i="62"/>
  <c r="BB4" i="62"/>
  <c r="AE4" i="62"/>
  <c r="V4" i="62"/>
  <c r="AC22" i="62" l="1"/>
  <c r="AC4" i="62"/>
  <c r="AH44" i="60" l="1"/>
  <c r="AH43" i="60"/>
  <c r="AH42" i="60"/>
  <c r="AH41" i="60"/>
  <c r="AH40" i="60"/>
  <c r="AH39" i="60"/>
  <c r="AH38" i="60"/>
  <c r="AG38" i="60"/>
  <c r="AH37" i="60"/>
  <c r="AG37" i="60"/>
  <c r="AH36" i="60"/>
  <c r="AG36" i="60"/>
  <c r="AH35" i="60"/>
  <c r="AG35" i="60"/>
  <c r="AH34" i="60"/>
  <c r="AG34" i="60"/>
  <c r="AH33" i="60"/>
  <c r="AG33" i="60"/>
  <c r="AH32" i="60"/>
  <c r="AG32" i="60"/>
  <c r="AH31" i="60"/>
  <c r="AG31" i="60"/>
  <c r="AH30" i="60"/>
  <c r="AG30" i="60"/>
  <c r="AH29" i="60"/>
  <c r="AG29" i="60"/>
  <c r="AH28" i="60"/>
  <c r="AG28" i="60"/>
  <c r="AH27" i="60"/>
  <c r="AG27" i="60"/>
  <c r="AH26" i="60"/>
  <c r="AG26" i="60"/>
  <c r="AH25" i="60"/>
  <c r="AG25" i="60"/>
  <c r="AH24" i="60"/>
  <c r="AG24" i="60"/>
  <c r="G24" i="60"/>
  <c r="AH23" i="60"/>
  <c r="AG23" i="60"/>
  <c r="AH22" i="60"/>
  <c r="AG22" i="60"/>
  <c r="AH21" i="60"/>
  <c r="AG21" i="60"/>
  <c r="AH20" i="60"/>
  <c r="AG20" i="60"/>
  <c r="F20" i="60"/>
  <c r="E20" i="60"/>
  <c r="AH19" i="60"/>
  <c r="AG19" i="60"/>
  <c r="E19" i="60"/>
  <c r="AH18" i="60"/>
  <c r="AG18" i="60"/>
  <c r="E18" i="60"/>
  <c r="AH17" i="60"/>
  <c r="AG17" i="60"/>
  <c r="E17" i="60"/>
  <c r="AH16" i="60"/>
  <c r="AG16" i="60"/>
  <c r="E16" i="60"/>
  <c r="AH15" i="60"/>
  <c r="AG15" i="60"/>
  <c r="E15" i="60"/>
  <c r="AH14" i="60"/>
  <c r="AG14" i="60"/>
  <c r="E14" i="60"/>
  <c r="AH13" i="60"/>
  <c r="AG13" i="60"/>
  <c r="E13" i="60"/>
  <c r="AH12" i="60"/>
  <c r="AG12" i="60"/>
  <c r="E12" i="60"/>
  <c r="AH11" i="60"/>
  <c r="AG11" i="60"/>
  <c r="M11" i="60"/>
  <c r="G11" i="60"/>
  <c r="E11" i="60"/>
  <c r="AH10" i="60"/>
  <c r="AG10" i="60"/>
  <c r="E10" i="60"/>
  <c r="AH9" i="60"/>
  <c r="AG9" i="60"/>
  <c r="H9" i="60"/>
  <c r="F9" i="60"/>
  <c r="E9" i="60"/>
  <c r="AH8" i="60"/>
  <c r="AG8" i="60"/>
  <c r="E8" i="60"/>
  <c r="E75" i="59" l="1"/>
  <c r="E73" i="59"/>
  <c r="E71" i="59"/>
  <c r="E69" i="59"/>
  <c r="E67" i="59"/>
  <c r="E65" i="59"/>
  <c r="E57" i="59"/>
  <c r="E55" i="59"/>
  <c r="E53" i="59"/>
  <c r="E51" i="59"/>
  <c r="E49" i="59"/>
  <c r="E47" i="59"/>
  <c r="E43" i="59"/>
  <c r="E39" i="59"/>
  <c r="E37" i="59"/>
  <c r="E35" i="59"/>
  <c r="E33" i="59"/>
  <c r="E31" i="59"/>
  <c r="E29" i="59"/>
  <c r="E27" i="59"/>
  <c r="E26" i="59"/>
  <c r="E24" i="59"/>
  <c r="E22" i="59"/>
  <c r="E20" i="59"/>
  <c r="E18" i="59"/>
  <c r="E15" i="59"/>
  <c r="E11" i="59"/>
  <c r="E10" i="59"/>
  <c r="E6" i="59"/>
  <c r="E2" i="59"/>
  <c r="E4" i="59"/>
  <c r="I21" i="57" l="1"/>
  <c r="AK20" i="62" l="1"/>
  <c r="AK34" i="62" l="1"/>
  <c r="AK32" i="62" l="1"/>
  <c r="AK38" i="62" l="1"/>
  <c r="AK37" i="62" l="1"/>
  <c r="AK4" i="62" l="1"/>
  <c r="AK5" i="62" l="1"/>
  <c r="AK13" i="62"/>
  <c r="AK6" i="62"/>
  <c r="AK8" i="62"/>
  <c r="AK12" i="62"/>
  <c r="AK22" i="62"/>
  <c r="AK14" i="62"/>
  <c r="AK11" i="62"/>
  <c r="AK10" i="62"/>
  <c r="AK9" i="62"/>
  <c r="AK15" i="62" l="1"/>
  <c r="AK7" i="62"/>
  <c r="AK17" i="62"/>
  <c r="AK24" i="62"/>
  <c r="AK16" i="62"/>
  <c r="AK25" i="62"/>
  <c r="AK30" i="62"/>
  <c r="AK35" i="62"/>
  <c r="AK26" i="62"/>
  <c r="AK21" i="62"/>
  <c r="AK36" i="62"/>
  <c r="AK27" i="62"/>
  <c r="AK31" i="62"/>
  <c r="AK29" i="62"/>
  <c r="AK18" i="62"/>
  <c r="AK19" i="62"/>
  <c r="AK23" i="62"/>
  <c r="AK33" i="62" l="1"/>
  <c r="AH24" i="36"/>
  <c r="AG24" i="36"/>
  <c r="AF24" i="36"/>
  <c r="W24" i="36"/>
  <c r="V24" i="36"/>
  <c r="U24" i="36"/>
  <c r="T24" i="36"/>
  <c r="R24" i="36"/>
  <c r="Q24" i="36"/>
  <c r="P24" i="36"/>
  <c r="O24" i="36"/>
  <c r="L24" i="36"/>
  <c r="AH23" i="36"/>
  <c r="AG23" i="36"/>
  <c r="AF23" i="36"/>
  <c r="W23" i="36"/>
  <c r="V23" i="36"/>
  <c r="U23" i="36"/>
  <c r="T23" i="36"/>
  <c r="R23" i="36"/>
  <c r="Q23" i="36"/>
  <c r="P23" i="36"/>
  <c r="O23" i="36"/>
  <c r="N23" i="36"/>
  <c r="L23" i="36"/>
  <c r="AC22" i="36"/>
  <c r="AE21" i="36"/>
  <c r="AC21" i="36" s="1"/>
  <c r="AC20" i="36"/>
  <c r="AC19" i="36"/>
  <c r="AE18" i="36"/>
  <c r="AD18" i="36"/>
  <c r="AB18" i="36"/>
  <c r="AA18" i="36"/>
  <c r="AE17" i="36"/>
  <c r="AD17" i="36"/>
  <c r="AB17" i="36"/>
  <c r="AA17" i="36"/>
  <c r="Z17" i="36"/>
  <c r="AE16" i="36"/>
  <c r="AC16" i="36" s="1"/>
  <c r="AB16" i="36"/>
  <c r="AA16" i="36"/>
  <c r="Z16" i="36"/>
  <c r="Y16" i="36"/>
  <c r="X16" i="36"/>
  <c r="AE15" i="36"/>
  <c r="AC15" i="36" s="1"/>
  <c r="AB15" i="36"/>
  <c r="AA15" i="36"/>
  <c r="Z15" i="36"/>
  <c r="Y15" i="36"/>
  <c r="X15" i="36"/>
  <c r="AE14" i="36"/>
  <c r="AD14" i="36"/>
  <c r="AB14" i="36"/>
  <c r="AA14" i="36"/>
  <c r="Z14" i="36"/>
  <c r="Y14" i="36"/>
  <c r="X14" i="36"/>
  <c r="AE13" i="36"/>
  <c r="AD13" i="36"/>
  <c r="AB13" i="36"/>
  <c r="AA13" i="36"/>
  <c r="Z13" i="36"/>
  <c r="Y13" i="36"/>
  <c r="X13" i="36"/>
  <c r="AE12" i="36"/>
  <c r="AD12" i="36"/>
  <c r="AB12" i="36"/>
  <c r="AA12" i="36"/>
  <c r="Z12" i="36"/>
  <c r="Y12" i="36"/>
  <c r="X12" i="36"/>
  <c r="AE11" i="36"/>
  <c r="AD11" i="36"/>
  <c r="AB11" i="36"/>
  <c r="AA11" i="36"/>
  <c r="Z11" i="36"/>
  <c r="Y11" i="36"/>
  <c r="X11" i="36"/>
  <c r="AE10" i="36"/>
  <c r="AD10" i="36"/>
  <c r="AB10" i="36"/>
  <c r="AA10" i="36"/>
  <c r="Z10" i="36"/>
  <c r="Y10" i="36"/>
  <c r="X10" i="36"/>
  <c r="AE9" i="36"/>
  <c r="AC9" i="36" s="1"/>
  <c r="AB9" i="36"/>
  <c r="AA9" i="36"/>
  <c r="Z9" i="36"/>
  <c r="Y9" i="36"/>
  <c r="X9" i="36"/>
  <c r="AE8" i="36"/>
  <c r="AC8" i="36" s="1"/>
  <c r="AB8" i="36"/>
  <c r="AA8" i="36"/>
  <c r="Z8" i="36"/>
  <c r="Y8" i="36"/>
  <c r="X8" i="36"/>
  <c r="AE7" i="36"/>
  <c r="AC7" i="36" s="1"/>
  <c r="AB7" i="36"/>
  <c r="AA7" i="36"/>
  <c r="Z7" i="36"/>
  <c r="Y7" i="36"/>
  <c r="X7" i="36"/>
  <c r="S7" i="36"/>
  <c r="AE6" i="36"/>
  <c r="AC6" i="36" s="1"/>
  <c r="AB6" i="36"/>
  <c r="AA6" i="36"/>
  <c r="Z6" i="36"/>
  <c r="Y6" i="36"/>
  <c r="X6" i="36"/>
  <c r="S6" i="36"/>
  <c r="AE5" i="36"/>
  <c r="AD5" i="36"/>
  <c r="AB5" i="36"/>
  <c r="AA5" i="36"/>
  <c r="Z5" i="36"/>
  <c r="Y5" i="36"/>
  <c r="X5" i="36"/>
  <c r="S5" i="36"/>
  <c r="AE4" i="36"/>
  <c r="AD4" i="36"/>
  <c r="AB4" i="36"/>
  <c r="AA4" i="36"/>
  <c r="Z4" i="36"/>
  <c r="Y4" i="36"/>
  <c r="X4" i="36"/>
  <c r="S4" i="36"/>
  <c r="AE3" i="36"/>
  <c r="AB3" i="36"/>
  <c r="AA3" i="36"/>
  <c r="Z3" i="36"/>
  <c r="Y3" i="36"/>
  <c r="X3" i="36"/>
  <c r="S3" i="36"/>
  <c r="AC13" i="36" l="1"/>
  <c r="AC17" i="36"/>
  <c r="Y23" i="36"/>
  <c r="AC5" i="36"/>
  <c r="AC11" i="36"/>
  <c r="AC10" i="36"/>
  <c r="AC14" i="36"/>
  <c r="AC12" i="36"/>
  <c r="AE23" i="36"/>
  <c r="Z23" i="36"/>
  <c r="AC18" i="36"/>
  <c r="AA23" i="36"/>
  <c r="S23" i="36"/>
  <c r="X24" i="36"/>
  <c r="AB23" i="36"/>
  <c r="AD23" i="36"/>
  <c r="X23" i="36"/>
  <c r="AC3" i="36"/>
  <c r="AC4" i="36"/>
  <c r="AD24" i="36"/>
  <c r="AE24" i="36"/>
  <c r="AC23" i="36" l="1"/>
</calcChain>
</file>

<file path=xl/comments1.xml><?xml version="1.0" encoding="utf-8"?>
<comments xmlns="http://schemas.openxmlformats.org/spreadsheetml/2006/main">
  <authors>
    <author>Гульнара</author>
  </authors>
  <commentList>
    <comment ref="T1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27.05.2013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1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21.08.13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12" authorId="0" shapeId="0">
      <text>
        <r>
          <rPr>
            <sz val="9"/>
            <color indexed="81"/>
            <rFont val="Tahoma"/>
            <family val="2"/>
            <charset val="204"/>
          </rPr>
          <t xml:space="preserve">25.11.13
</t>
        </r>
      </text>
    </comment>
    <comment ref="U13" authorId="0" shapeId="0">
      <text>
        <r>
          <rPr>
            <sz val="9"/>
            <color indexed="81"/>
            <rFont val="Tahoma"/>
            <family val="2"/>
            <charset val="204"/>
          </rPr>
          <t>17.02.14</t>
        </r>
      </text>
    </comment>
    <comment ref="U19" authorId="0" shapeId="0">
      <text>
        <r>
          <rPr>
            <sz val="9"/>
            <color indexed="81"/>
            <rFont val="Tahoma"/>
            <family val="2"/>
            <charset val="204"/>
          </rPr>
          <t>17.02.14</t>
        </r>
      </text>
    </comment>
  </commentList>
</comments>
</file>

<file path=xl/comments2.xml><?xml version="1.0" encoding="utf-8"?>
<comments xmlns="http://schemas.openxmlformats.org/spreadsheetml/2006/main">
  <authors>
    <author>Директор</author>
  </authors>
  <commentList>
    <comment ref="F28" authorId="0" shapeId="0">
      <text>
        <r>
          <rPr>
            <b/>
            <sz val="9"/>
            <color indexed="81"/>
            <rFont val="Tahoma"/>
            <family val="2"/>
            <charset val="204"/>
          </rPr>
          <t>Директор:</t>
        </r>
        <r>
          <rPr>
            <sz val="9"/>
            <color indexed="81"/>
            <rFont val="Tahoma"/>
            <family val="2"/>
            <charset val="204"/>
          </rPr>
          <t xml:space="preserve">
кв.со 2 по 10 эт, 1 эт-оф, чердак-этаж, подвал-этаж</t>
        </r>
      </text>
    </comment>
  </commentList>
</comments>
</file>

<file path=xl/comments3.xml><?xml version="1.0" encoding="utf-8"?>
<comments xmlns="http://schemas.openxmlformats.org/spreadsheetml/2006/main">
  <authors>
    <author>Гульнара</author>
    <author>Администратор</author>
    <author>Директор</author>
  </authors>
  <commentList>
    <comment ref="CP15" authorId="0" shapeId="0">
      <text>
        <r>
          <rPr>
            <b/>
            <sz val="9"/>
            <color indexed="81"/>
            <rFont val="Tahoma"/>
            <family val="2"/>
            <charset val="204"/>
          </rPr>
          <t>Гульнара:</t>
        </r>
        <r>
          <rPr>
            <sz val="9"/>
            <color indexed="81"/>
            <rFont val="Tahoma"/>
            <family val="2"/>
            <charset val="204"/>
          </rPr>
          <t xml:space="preserve">
867,1-коридоры
119,1-переходные лоджии</t>
        </r>
      </text>
    </comment>
    <comment ref="CP18" authorId="1" shapeId="0">
      <text>
        <r>
          <rPr>
            <b/>
            <sz val="9"/>
            <color indexed="81"/>
            <rFont val="Tahoma"/>
            <family val="2"/>
            <charset val="204"/>
          </rPr>
          <t>Администратор:</t>
        </r>
        <r>
          <rPr>
            <sz val="9"/>
            <color indexed="81"/>
            <rFont val="Tahoma"/>
            <family val="2"/>
            <charset val="204"/>
          </rPr>
          <t xml:space="preserve">
+7,8 в связи с разделением квртиры 78,79</t>
        </r>
      </text>
    </comment>
    <comment ref="R28" authorId="2" shapeId="0">
      <text>
        <r>
          <rPr>
            <b/>
            <sz val="9"/>
            <color indexed="81"/>
            <rFont val="Tahoma"/>
            <family val="2"/>
            <charset val="204"/>
          </rPr>
          <t>Директор:</t>
        </r>
        <r>
          <rPr>
            <sz val="9"/>
            <color indexed="81"/>
            <rFont val="Tahoma"/>
            <family val="2"/>
            <charset val="204"/>
          </rPr>
          <t xml:space="preserve">
кв.со 2 по 10 эт, 1 эт-оф, чердак-этаж, подвал-этаж</t>
        </r>
      </text>
    </comment>
    <comment ref="AK34" authorId="2" shapeId="0">
      <text>
        <r>
          <rPr>
            <b/>
            <sz val="9"/>
            <color indexed="81"/>
            <rFont val="Tahoma"/>
            <family val="2"/>
            <charset val="204"/>
          </rPr>
          <t>Директор:</t>
        </r>
        <r>
          <rPr>
            <sz val="9"/>
            <color indexed="81"/>
            <rFont val="Tahoma"/>
            <family val="2"/>
            <charset val="204"/>
          </rPr>
          <t xml:space="preserve">
=2976,6-59,4</t>
        </r>
      </text>
    </comment>
  </commentList>
</comments>
</file>

<file path=xl/comments4.xml><?xml version="1.0" encoding="utf-8"?>
<comments xmlns="http://schemas.openxmlformats.org/spreadsheetml/2006/main">
  <authors>
    <author>Гульнара</author>
    <author>Администратор</author>
    <author>Директор</author>
  </authors>
  <commentList>
    <comment ref="AA15" authorId="0" shapeId="0">
      <text>
        <r>
          <rPr>
            <b/>
            <sz val="9"/>
            <color indexed="81"/>
            <rFont val="Tahoma"/>
            <family val="2"/>
            <charset val="204"/>
          </rPr>
          <t>Гульнара:</t>
        </r>
        <r>
          <rPr>
            <sz val="9"/>
            <color indexed="81"/>
            <rFont val="Tahoma"/>
            <family val="2"/>
            <charset val="204"/>
          </rPr>
          <t xml:space="preserve">
867,1-коридоры
119,1-переходные лоджии</t>
        </r>
      </text>
    </comment>
    <comment ref="AA18" authorId="1" shapeId="0">
      <text>
        <r>
          <rPr>
            <b/>
            <sz val="9"/>
            <color indexed="81"/>
            <rFont val="Tahoma"/>
            <family val="2"/>
            <charset val="204"/>
          </rPr>
          <t>Администратор:</t>
        </r>
        <r>
          <rPr>
            <sz val="9"/>
            <color indexed="81"/>
            <rFont val="Tahoma"/>
            <family val="2"/>
            <charset val="204"/>
          </rPr>
          <t xml:space="preserve">
+7,8 в связи с разделением квртиры 78,79</t>
        </r>
      </text>
    </comment>
    <comment ref="I28" authorId="2" shapeId="0">
      <text>
        <r>
          <rPr>
            <b/>
            <sz val="9"/>
            <color indexed="81"/>
            <rFont val="Tahoma"/>
            <family val="2"/>
            <charset val="204"/>
          </rPr>
          <t>Директор:</t>
        </r>
        <r>
          <rPr>
            <sz val="9"/>
            <color indexed="81"/>
            <rFont val="Tahoma"/>
            <family val="2"/>
            <charset val="204"/>
          </rPr>
          <t xml:space="preserve">
кв.со 2 по 10 эт, 1 эт-оф, чердак-этаж, подвал-этаж</t>
        </r>
      </text>
    </comment>
  </commentList>
</comments>
</file>

<file path=xl/sharedStrings.xml><?xml version="1.0" encoding="utf-8"?>
<sst xmlns="http://schemas.openxmlformats.org/spreadsheetml/2006/main" count="3603" uniqueCount="1042">
  <si>
    <t>37/20 В</t>
  </si>
  <si>
    <t>42/21 А</t>
  </si>
  <si>
    <t>38/09-3А</t>
  </si>
  <si>
    <t>44/11 А</t>
  </si>
  <si>
    <t>59/07</t>
  </si>
  <si>
    <t>14-05/1</t>
  </si>
  <si>
    <t>12/34 А</t>
  </si>
  <si>
    <t>Новый город</t>
  </si>
  <si>
    <t>ЗЯБ</t>
  </si>
  <si>
    <t>7-9</t>
  </si>
  <si>
    <t>э/э</t>
  </si>
  <si>
    <t>газ</t>
  </si>
  <si>
    <t>бойлер</t>
  </si>
  <si>
    <t>Мастер по дому</t>
  </si>
  <si>
    <t>Загрутдинова Диляря Шаукатовна</t>
  </si>
  <si>
    <t>Старший по дому</t>
  </si>
  <si>
    <t>Малышев Максим Владимирович</t>
  </si>
  <si>
    <t>Сморжук Матвей Николаевич</t>
  </si>
  <si>
    <t>Легошин Николай Александрович</t>
  </si>
  <si>
    <t>Абдуллин Айдар Зуфарович</t>
  </si>
  <si>
    <t>цо</t>
  </si>
  <si>
    <t>Этажность</t>
  </si>
  <si>
    <t>Кол-во подъ ездов</t>
  </si>
  <si>
    <t>Материал стен</t>
  </si>
  <si>
    <t>Конструкция   крыши</t>
  </si>
  <si>
    <t>Отопление</t>
  </si>
  <si>
    <t>Улица</t>
  </si>
  <si>
    <t>№ дома</t>
  </si>
  <si>
    <t>ООО УК «ДОМиКо»</t>
  </si>
  <si>
    <t>Пр-т Набережночелнинский</t>
  </si>
  <si>
    <t>5Б</t>
  </si>
  <si>
    <t>17А/24 блок Б</t>
  </si>
  <si>
    <t xml:space="preserve">Кирпич </t>
  </si>
  <si>
    <t>Мягкий</t>
  </si>
  <si>
    <t>Центр</t>
  </si>
  <si>
    <t>5А</t>
  </si>
  <si>
    <t>17А/24 блок А</t>
  </si>
  <si>
    <t>Ул. Пушкина</t>
  </si>
  <si>
    <t>Панельн</t>
  </si>
  <si>
    <t>Ул. Раскольникова</t>
  </si>
  <si>
    <t>38-09/3А</t>
  </si>
  <si>
    <t>Кирпич</t>
  </si>
  <si>
    <t>Ул. им. И.Маннанова</t>
  </si>
  <si>
    <t>Б-р Кол Гали</t>
  </si>
  <si>
    <t>Ул. Ш. Усманова</t>
  </si>
  <si>
    <t>Ул. Железнодорожников</t>
  </si>
  <si>
    <t>12А</t>
  </si>
  <si>
    <t>14/05-1</t>
  </si>
  <si>
    <t>Пр. Чулман</t>
  </si>
  <si>
    <t>18-19</t>
  </si>
  <si>
    <t>Лифты</t>
  </si>
  <si>
    <t>общедомовые приборы учета</t>
  </si>
  <si>
    <t>Кол-во квартирных приборов учета</t>
  </si>
  <si>
    <t>количество</t>
  </si>
  <si>
    <t>тепла</t>
  </si>
  <si>
    <t>ГВС</t>
  </si>
  <si>
    <t>ХВС</t>
  </si>
  <si>
    <t>ЭС</t>
  </si>
  <si>
    <t>-</t>
  </si>
  <si>
    <t>44/17 А</t>
  </si>
  <si>
    <t>87А</t>
  </si>
  <si>
    <t>10</t>
  </si>
  <si>
    <t>Управляющая компания</t>
  </si>
  <si>
    <t>Комсомольский</t>
  </si>
  <si>
    <t>Центральный</t>
  </si>
  <si>
    <t>Почтовый адрес:</t>
  </si>
  <si>
    <t>п/н</t>
  </si>
  <si>
    <t>Наб.Челны</t>
  </si>
  <si>
    <t>37/20 Г</t>
  </si>
  <si>
    <t>Площадь по ЖК РФ, кв.м.</t>
  </si>
  <si>
    <t>Кол-во 1 комн кв-р</t>
  </si>
  <si>
    <t>Кол-во 2 комн кв-р</t>
  </si>
  <si>
    <t>Кол-во 3 комн кв-р</t>
  </si>
  <si>
    <t>Кол-во 4 комн кв-р</t>
  </si>
  <si>
    <t>Район</t>
  </si>
  <si>
    <t>Адрес по комплексу</t>
  </si>
  <si>
    <t>№ п/п</t>
  </si>
  <si>
    <t>Дата ввода в эксплуатацию</t>
  </si>
  <si>
    <t>РРЦ</t>
  </si>
  <si>
    <t>Сафина М.М. т.347694</t>
  </si>
  <si>
    <t>газ  /   э/э</t>
  </si>
  <si>
    <t>Наличие ППА</t>
  </si>
  <si>
    <t>ППА</t>
  </si>
  <si>
    <t>год установки/ кап.ремонта</t>
  </si>
  <si>
    <t>Кол-во проживающих на 01.01.13</t>
  </si>
  <si>
    <t>Кол-во проживающих на 01.01.14</t>
  </si>
  <si>
    <t>0</t>
  </si>
  <si>
    <t>70</t>
  </si>
  <si>
    <t>40</t>
  </si>
  <si>
    <t>Площадь дорог, кв.м</t>
  </si>
  <si>
    <t>Площадь тротуаров, кв.м</t>
  </si>
  <si>
    <t>Площадь отмостков, кв.м</t>
  </si>
  <si>
    <t>Площадь газонов, кв.м</t>
  </si>
  <si>
    <t>Площадь и количество детских площадок, кв.м</t>
  </si>
  <si>
    <t>Количество деревьев, шт</t>
  </si>
  <si>
    <t>Количество кустарников, шт</t>
  </si>
  <si>
    <t>Количество хоз. площадок, шт</t>
  </si>
  <si>
    <t>Количество урн, шт</t>
  </si>
  <si>
    <t>Количество вазонов, шт</t>
  </si>
  <si>
    <t>Количество скамеек, шт</t>
  </si>
  <si>
    <t>304/1</t>
  </si>
  <si>
    <t>384/1</t>
  </si>
  <si>
    <t>180/1</t>
  </si>
  <si>
    <t>150/1</t>
  </si>
  <si>
    <t>310/1</t>
  </si>
  <si>
    <t>Площадь лестничных клеток, кв.м.</t>
  </si>
  <si>
    <t>Площадь кровли, кв.м</t>
  </si>
  <si>
    <t>Площадь подвала, кв.м</t>
  </si>
  <si>
    <t>189/1</t>
  </si>
  <si>
    <t>223/1</t>
  </si>
  <si>
    <t>182/1</t>
  </si>
  <si>
    <t>90,9/1</t>
  </si>
  <si>
    <t>1</t>
  </si>
  <si>
    <t>8</t>
  </si>
  <si>
    <t>В/дом. инж.система в/отведения, кв.м</t>
  </si>
  <si>
    <t>В/дом. инж.система гвс, кв.м</t>
  </si>
  <si>
    <t>В/дом. инж.система теплоснабжения, кв.м.</t>
  </si>
  <si>
    <t>В/дом. инж.система хвс</t>
  </si>
  <si>
    <t>В/дом. инж.система э/снабжения</t>
  </si>
  <si>
    <t>Площадь фасада, кв.м</t>
  </si>
  <si>
    <t>Площадь фундамента, кв.м</t>
  </si>
  <si>
    <t xml:space="preserve">Акт инвентаризации водопроводных сетей на территории муниципального образования </t>
  </si>
  <si>
    <t>г. Набережные челны (бесхозяйные)</t>
  </si>
  <si>
    <t>Наименование объекта</t>
  </si>
  <si>
    <t>Местонахождение</t>
  </si>
  <si>
    <t>Протяженность, п.м.</t>
  </si>
  <si>
    <t>Диаметр, мм</t>
  </si>
  <si>
    <t>Материал</t>
  </si>
  <si>
    <t>Техническое состояние</t>
  </si>
  <si>
    <t>Год ввода в эксплуатацию</t>
  </si>
  <si>
    <t>ж/д 59/07</t>
  </si>
  <si>
    <t>от ВК-10 до ж/д</t>
  </si>
  <si>
    <t>36,2 м</t>
  </si>
  <si>
    <t>110 мм</t>
  </si>
  <si>
    <t>полиэтилен</t>
  </si>
  <si>
    <t>удовл.</t>
  </si>
  <si>
    <t>2011 г</t>
  </si>
  <si>
    <t>ж/д 44/11 а</t>
  </si>
  <si>
    <t>от ВК-215 до ж/д</t>
  </si>
  <si>
    <t>99 м</t>
  </si>
  <si>
    <t>2012 г</t>
  </si>
  <si>
    <t>ж/д 14/05-1</t>
  </si>
  <si>
    <t>от 4-БК до ж/д</t>
  </si>
  <si>
    <t>2 трубы по  84 м</t>
  </si>
  <si>
    <t>2013 г</t>
  </si>
  <si>
    <t>ж/д 12/34 а</t>
  </si>
  <si>
    <t>от ВК-5 до ж/д</t>
  </si>
  <si>
    <t>2 трубы по  62 м</t>
  </si>
  <si>
    <t>ж/д 17а/24 блок А, Б</t>
  </si>
  <si>
    <t>от ВК-2 до ж/д</t>
  </si>
  <si>
    <t>42,5 м</t>
  </si>
  <si>
    <t>200 мм</t>
  </si>
  <si>
    <t>2006 г</t>
  </si>
  <si>
    <t>63,5 м</t>
  </si>
  <si>
    <t>100 мм</t>
  </si>
  <si>
    <t>ж/д 42/21 а</t>
  </si>
  <si>
    <t>от ВК-244 до ж/д</t>
  </si>
  <si>
    <t>34 м</t>
  </si>
  <si>
    <t>63 мм</t>
  </si>
  <si>
    <t>2009 г</t>
  </si>
  <si>
    <t>ж/д 38/09-3а</t>
  </si>
  <si>
    <t>от ВК-311 до ж/д</t>
  </si>
  <si>
    <t>2 трубы по  32,65 м</t>
  </si>
  <si>
    <t>2010 г</t>
  </si>
  <si>
    <t>ж/д 44/17</t>
  </si>
  <si>
    <t>От ВК 216 до ж/д</t>
  </si>
  <si>
    <t xml:space="preserve">Акт инвентаризации канализационных сетей на территории муниципального образования </t>
  </si>
  <si>
    <t>от КК-110 до ж/д</t>
  </si>
  <si>
    <t>10,5 м</t>
  </si>
  <si>
    <t>160 мм</t>
  </si>
  <si>
    <t>от КК-229 до ж/д</t>
  </si>
  <si>
    <t>43 м</t>
  </si>
  <si>
    <t>от КК-33 до ж/д</t>
  </si>
  <si>
    <t>84 м</t>
  </si>
  <si>
    <t>от КК-301 до ж/д</t>
  </si>
  <si>
    <t>346 м</t>
  </si>
  <si>
    <t>2013 г.</t>
  </si>
  <si>
    <t>от КК-166 до ж/д</t>
  </si>
  <si>
    <t>148 м</t>
  </si>
  <si>
    <t>асбоцемент</t>
  </si>
  <si>
    <t>107,3 м</t>
  </si>
  <si>
    <t>300 мм</t>
  </si>
  <si>
    <t>от КК-160 до ж/д</t>
  </si>
  <si>
    <t>69 м</t>
  </si>
  <si>
    <t>пвх</t>
  </si>
  <si>
    <t>от КК-357 до ж/д</t>
  </si>
  <si>
    <t>2 трубы по  11 м</t>
  </si>
  <si>
    <t>от КК-208 до ж/д</t>
  </si>
  <si>
    <t>19 м</t>
  </si>
  <si>
    <t>9 м</t>
  </si>
  <si>
    <t>ж/д 37/20 в</t>
  </si>
  <si>
    <t>от КК-5 до ж/д</t>
  </si>
  <si>
    <t>104,4 м</t>
  </si>
  <si>
    <t>От КК-149 до ж/д</t>
  </si>
  <si>
    <t xml:space="preserve">Акт инвентаризации тепловых сетей на территории муниципального образования </t>
  </si>
  <si>
    <t>от ТК-14 до ж/д</t>
  </si>
  <si>
    <t>88*2</t>
  </si>
  <si>
    <t>2*89 мм</t>
  </si>
  <si>
    <t>сталь</t>
  </si>
  <si>
    <t>от ТК-2 до ж/д</t>
  </si>
  <si>
    <t>49*2</t>
  </si>
  <si>
    <t>96,5*2</t>
  </si>
  <si>
    <t>108мм, 89 мм</t>
  </si>
  <si>
    <t>от ТК-171 до ж/д</t>
  </si>
  <si>
    <t>2*108 мм</t>
  </si>
  <si>
    <t>от ТК-1 до ж/д</t>
  </si>
  <si>
    <t>от ТК-292 до ж/д</t>
  </si>
  <si>
    <t>2*159 мм</t>
  </si>
  <si>
    <t>от ТК-61 до ж/д</t>
  </si>
  <si>
    <t>2*76 мм</t>
  </si>
  <si>
    <t>от ТК-47 до ж/д</t>
  </si>
  <si>
    <t>2* 76 мм</t>
  </si>
  <si>
    <t>От ТК-2а до ж/д</t>
  </si>
  <si>
    <t>2*65 мм</t>
  </si>
  <si>
    <t>Симонова Наиля Асхатовна</t>
  </si>
  <si>
    <t>37/20Г</t>
  </si>
  <si>
    <t>1-45, 46-93</t>
  </si>
  <si>
    <t>1-54</t>
  </si>
  <si>
    <t>1-55, 56-110</t>
  </si>
  <si>
    <t>1-40, 41-80</t>
  </si>
  <si>
    <t>1-36, 37-72, 73-108</t>
  </si>
  <si>
    <t>1-128</t>
  </si>
  <si>
    <t>1-72</t>
  </si>
  <si>
    <t>1-32, 33-71, 72-110,      111-142</t>
  </si>
  <si>
    <t>1-35, 36-77, 78-119,     120-154</t>
  </si>
  <si>
    <t>Номера квартир по-подъездно</t>
  </si>
  <si>
    <t>Мухаметова Регина Альбертовна</t>
  </si>
  <si>
    <t>Тюрина Лилия Александровна</t>
  </si>
  <si>
    <t>Вагизова Галина Ивановна</t>
  </si>
  <si>
    <t>Хайрутдинов Ирек Асхатович</t>
  </si>
  <si>
    <t>Мотыгуллин Ренат Гарифович</t>
  </si>
  <si>
    <t>Хафизова Таскира Хазигалиевна</t>
  </si>
  <si>
    <t>Юсупов Ильдар Ниязович</t>
  </si>
  <si>
    <t>Исмагилов Радик Салахутдинович</t>
  </si>
  <si>
    <t>Малинина Марина Владимировна</t>
  </si>
  <si>
    <t>Иванов Евгений Владимирович</t>
  </si>
  <si>
    <t>Ибрагимова Зухра Равиловна</t>
  </si>
  <si>
    <t>Давлятшина Люция Мансуровна</t>
  </si>
  <si>
    <t>Осипова Светлана Рафиковна</t>
  </si>
  <si>
    <t>Хусаинова Эльвира Тауфиковна</t>
  </si>
  <si>
    <t>Старший по подъезду</t>
  </si>
  <si>
    <t>Старший по подъезду 1</t>
  </si>
  <si>
    <t>Старший по подъезду 2</t>
  </si>
  <si>
    <t>Старший по подъезду 3</t>
  </si>
  <si>
    <t>Старший по подъезду 4</t>
  </si>
  <si>
    <t>Шмелева Резеда Маузетдиновна</t>
  </si>
  <si>
    <t>Барабанов Александр Александрович</t>
  </si>
  <si>
    <t>Иванова Галина Юрьевна</t>
  </si>
  <si>
    <t>17А/24 А,Б</t>
  </si>
  <si>
    <t>ФИО собственника МКД</t>
  </si>
  <si>
    <t>№ кв</t>
  </si>
  <si>
    <t>Статус в МКД</t>
  </si>
  <si>
    <t>МКД</t>
  </si>
  <si>
    <t>Ведомость Советов МКД</t>
  </si>
  <si>
    <t>№, дата протокола</t>
  </si>
  <si>
    <t>Дата проведения собрания</t>
  </si>
  <si>
    <t>Адрес многоквартирного дома (населенный пункт, улица, дом)</t>
  </si>
  <si>
    <t>17А/24 Б</t>
  </si>
  <si>
    <t>17А/24 А</t>
  </si>
  <si>
    <t>№1 от 23.02.2008</t>
  </si>
  <si>
    <t>№1 от 30.09.2008</t>
  </si>
  <si>
    <t>б/н от 27.05.2013</t>
  </si>
  <si>
    <t>№1 от 16.11.2011</t>
  </si>
  <si>
    <t>№1 от 16.03.2011</t>
  </si>
  <si>
    <t>№1 от 06.03.2009</t>
  </si>
  <si>
    <t xml:space="preserve">№1 от 01.07.2010 </t>
  </si>
  <si>
    <t>№1 от 21.08.2013</t>
  </si>
  <si>
    <t>№1 от 05.02.2012</t>
  </si>
  <si>
    <t>б/н от 25.11.2013</t>
  </si>
  <si>
    <t>б/н от 17.02.2014</t>
  </si>
  <si>
    <t xml:space="preserve">РЕЕСТР
протоколов общего собрания собственников помещений в многоквартирном доме по вопросу выбора управляющей организации.
</t>
  </si>
  <si>
    <t>Кол-во проживающих на 01.07.14</t>
  </si>
  <si>
    <t>134</t>
  </si>
  <si>
    <t>56</t>
  </si>
  <si>
    <t>12/07 А</t>
  </si>
  <si>
    <t>12/07 Б</t>
  </si>
  <si>
    <t>53/21 Г</t>
  </si>
  <si>
    <t>16/01 А</t>
  </si>
  <si>
    <t>ул. Раиса Беляева</t>
  </si>
  <si>
    <t>76А</t>
  </si>
  <si>
    <t>17</t>
  </si>
  <si>
    <t>1-126</t>
  </si>
  <si>
    <t>ж/д 37/20 Г</t>
  </si>
  <si>
    <t>2*89мм</t>
  </si>
  <si>
    <t xml:space="preserve">  ППУ</t>
  </si>
  <si>
    <t>от УТ-1до ж/д</t>
  </si>
  <si>
    <t xml:space="preserve">от ВК-28 до ж/д </t>
  </si>
  <si>
    <t xml:space="preserve">    110 мм</t>
  </si>
  <si>
    <t xml:space="preserve">    2014 г</t>
  </si>
  <si>
    <t>от К-3 дож/д</t>
  </si>
  <si>
    <t>полиэтил</t>
  </si>
  <si>
    <t>2014 г</t>
  </si>
  <si>
    <t xml:space="preserve"> ж/д 37/20 Г</t>
  </si>
  <si>
    <t>ж/д 12/07 А</t>
  </si>
  <si>
    <t>ж/д 12/07 Б</t>
  </si>
  <si>
    <t>от К-15 дож/д</t>
  </si>
  <si>
    <t>ж/д  12/07 А</t>
  </si>
  <si>
    <t>от ВК-689 дож/д</t>
  </si>
  <si>
    <t>225 мм</t>
  </si>
  <si>
    <t>от ВК-92 дож/д</t>
  </si>
  <si>
    <t>удовлет</t>
  </si>
  <si>
    <t>ППУ</t>
  </si>
  <si>
    <t>от ТУ 33 до ж/д</t>
  </si>
  <si>
    <t>2*133 мм</t>
  </si>
  <si>
    <t>2* 133 мм</t>
  </si>
  <si>
    <t>Кол-во проживающих на 01.01.15</t>
  </si>
  <si>
    <t>172</t>
  </si>
  <si>
    <t>78</t>
  </si>
  <si>
    <t>215</t>
  </si>
  <si>
    <t>Лукин Е.Д т.333510</t>
  </si>
  <si>
    <t xml:space="preserve">пр. Московский </t>
  </si>
  <si>
    <t>134А</t>
  </si>
  <si>
    <t>Срок службы дома, лет</t>
  </si>
  <si>
    <t>12/07А</t>
  </si>
  <si>
    <t>Файзуллин Фанис Назипович</t>
  </si>
  <si>
    <t>12/07Б</t>
  </si>
  <si>
    <t>Александрова Зугря Гаязовна</t>
  </si>
  <si>
    <t>53/21Г</t>
  </si>
  <si>
    <t>Санина Роза Васильевна</t>
  </si>
  <si>
    <t>16/01А</t>
  </si>
  <si>
    <t>пр. Раиса Беляева</t>
  </si>
  <si>
    <t>Кол-во квартир (по ТП)</t>
  </si>
  <si>
    <t xml:space="preserve">Лукин Е.Д т.333510  </t>
  </si>
  <si>
    <t>1-169</t>
  </si>
  <si>
    <t>Кол-во квартир (по грц)</t>
  </si>
  <si>
    <t>% износа</t>
  </si>
  <si>
    <t>Система отопления  (цо / бойлер)</t>
  </si>
  <si>
    <t>тепло</t>
  </si>
  <si>
    <t>Удельная тепловая характеристика здания</t>
  </si>
  <si>
    <t>Фактич. удел. расход</t>
  </si>
  <si>
    <t>Нормат. удел. расход</t>
  </si>
  <si>
    <t>Класс энергоэфф-ти</t>
  </si>
  <si>
    <t>Дата проведения энерг.аудита</t>
  </si>
  <si>
    <t>с-нормальный</t>
  </si>
  <si>
    <t>356,06</t>
  </si>
  <si>
    <t>361,78</t>
  </si>
  <si>
    <t>04.10.13</t>
  </si>
  <si>
    <t>9063324672, 409276</t>
  </si>
  <si>
    <t>9274758888, 333512</t>
  </si>
  <si>
    <t>8-917-236-30-03</t>
  </si>
  <si>
    <t>б/н от 17.02.2015</t>
  </si>
  <si>
    <t>б/н от 17.02.2016</t>
  </si>
  <si>
    <t>б/н от 17.02.2017</t>
  </si>
  <si>
    <t>б/н от 17.02.2018</t>
  </si>
  <si>
    <t>пр. Беляева, 76</t>
  </si>
  <si>
    <t>пр. Беляева, 76А</t>
  </si>
  <si>
    <t>пр. Московский, 134А</t>
  </si>
  <si>
    <t>пр. Беляева, 28</t>
  </si>
  <si>
    <t>б/н от 18.12.2014</t>
  </si>
  <si>
    <t>б/н от 05.01.2015</t>
  </si>
  <si>
    <t>б/н от 25.03.2015</t>
  </si>
  <si>
    <t>Площадь чердака, кв.м</t>
  </si>
  <si>
    <t>Площадь придомовой территории, кв.м.</t>
  </si>
  <si>
    <t>Площадь крыши, кв.м</t>
  </si>
  <si>
    <t>Площадь лестничных клеток уборочная, кв.м.</t>
  </si>
  <si>
    <t>Площадь тамбуров, кв.м</t>
  </si>
  <si>
    <t>Площадь м/камер, кв.м</t>
  </si>
  <si>
    <t>Площадь коридоров, кв.м</t>
  </si>
  <si>
    <t>2</t>
  </si>
  <si>
    <t>302,03</t>
  </si>
  <si>
    <t>272,9</t>
  </si>
  <si>
    <t>01.12.2014</t>
  </si>
  <si>
    <t>05.12.2014</t>
  </si>
  <si>
    <t>137,5/1</t>
  </si>
  <si>
    <t>369,2/1</t>
  </si>
  <si>
    <t>Кол-во проживающих на 01.04.15</t>
  </si>
  <si>
    <t>Боровская Галина Григорьевна</t>
  </si>
  <si>
    <t>9179018442; 597062</t>
  </si>
  <si>
    <t>Кол-во проживающих на 01.07.15</t>
  </si>
  <si>
    <t>12/07Г</t>
  </si>
  <si>
    <t>76Г</t>
  </si>
  <si>
    <t>18</t>
  </si>
  <si>
    <t>1-96</t>
  </si>
  <si>
    <t>13</t>
  </si>
  <si>
    <t>площадь жилая в квартирах</t>
  </si>
  <si>
    <t>площадь подсобная в квартирах</t>
  </si>
  <si>
    <t>лоджии, балконы</t>
  </si>
  <si>
    <t>площадь квартир по ЖК РФ</t>
  </si>
  <si>
    <t>площадь нежилых помещений</t>
  </si>
  <si>
    <t>МОП</t>
  </si>
  <si>
    <t>Кол-во проживающих на 01.01.16</t>
  </si>
  <si>
    <t>инвентарный номер дома</t>
  </si>
  <si>
    <t>кадастровый номер дома</t>
  </si>
  <si>
    <t>16 52 03 05 09 18</t>
  </si>
  <si>
    <t>15 52 05 02 01 16</t>
  </si>
  <si>
    <t>16 52 050201 82</t>
  </si>
  <si>
    <t>16 52 03 03 01 0004 0005</t>
  </si>
  <si>
    <t>16 52 04 03 01 100</t>
  </si>
  <si>
    <t>16 52 04 01 03 0107</t>
  </si>
  <si>
    <t>Площадь застройки, кв.м</t>
  </si>
  <si>
    <t>16 52 07 02 04 119    или           16 52 07 02 04 35</t>
  </si>
  <si>
    <t>16 52 00 00 00 1765  или           16 52 05 02 05 4</t>
  </si>
  <si>
    <t>16 52 05 03 01 0058</t>
  </si>
  <si>
    <t>16 52 04 01 02 104</t>
  </si>
  <si>
    <t>90 83</t>
  </si>
  <si>
    <t>16 52 05 03 02 54</t>
  </si>
  <si>
    <t>16 52 050302 45</t>
  </si>
  <si>
    <t>16 52 03 03 01 0004 0004</t>
  </si>
  <si>
    <t>16 52 04 01 29 93</t>
  </si>
  <si>
    <t>В-высокий</t>
  </si>
  <si>
    <t>Общая площадь здания, без лоджий</t>
  </si>
  <si>
    <t>1-143</t>
  </si>
  <si>
    <t>б/н от 17.02.2019</t>
  </si>
  <si>
    <t>пр. Беляева, 76Г</t>
  </si>
  <si>
    <t>б/н от 14.10.2016</t>
  </si>
  <si>
    <t>341,5</t>
  </si>
  <si>
    <t>412,05</t>
  </si>
  <si>
    <t>29.06.15</t>
  </si>
  <si>
    <t>Кол-во проживающих на 01.01.12</t>
  </si>
  <si>
    <t>год постройки</t>
  </si>
  <si>
    <t>Кол-во проживающих на 01.06.16</t>
  </si>
  <si>
    <t>Кол-во проживающих на 01.09.16</t>
  </si>
  <si>
    <t>65/17</t>
  </si>
  <si>
    <t>ул. Аделя Кутуя</t>
  </si>
  <si>
    <t>Сосенков А.А.</t>
  </si>
  <si>
    <t>Мустафина З.З</t>
  </si>
  <si>
    <t>10 (11)</t>
  </si>
  <si>
    <t>1-83, 84-119, 120-198, 199-277, 278-356</t>
  </si>
  <si>
    <t>Хорьков Е.А.</t>
  </si>
  <si>
    <t>на 01.01.2016</t>
  </si>
  <si>
    <t>№10 (н.г. 52/20)         т.59-59-97, 59-21-14</t>
  </si>
  <si>
    <t>65/05</t>
  </si>
  <si>
    <t>65/18</t>
  </si>
  <si>
    <t>Автозавдский</t>
  </si>
  <si>
    <t>ул. Виктора Полякова</t>
  </si>
  <si>
    <t>пр. Абдурахмана Абсалямова</t>
  </si>
  <si>
    <t>1-119</t>
  </si>
  <si>
    <t>1-119, 120-198, 199-317, 318-436</t>
  </si>
  <si>
    <t>16 52 070307 1923</t>
  </si>
  <si>
    <t>16 52 070307 130</t>
  </si>
  <si>
    <t>16 52 070307 1924</t>
  </si>
  <si>
    <t>Площадь по ЖК РФ</t>
  </si>
  <si>
    <t>№1 (зяб,15/XVI)                            т.46-56-66, 46-06-68</t>
  </si>
  <si>
    <t>№3 (н.г. 42/24)                           т.52-26-13, 52-27-17</t>
  </si>
  <si>
    <t>№11 (н.г. пр.Чулман, 8        (33-й ком-кс) т.49-22-20</t>
  </si>
  <si>
    <t>№5 (н.г. 56/20)                           т.58-33-50, 51-36-12</t>
  </si>
  <si>
    <t>№9 (н.г. 2/07)                           т.39-31-70, 38-67-17</t>
  </si>
  <si>
    <t>№7 (н.г.17/01)                           т.39-19-95, 38-02-55</t>
  </si>
  <si>
    <t>на 01.01.2017</t>
  </si>
  <si>
    <t>Тип дома</t>
  </si>
  <si>
    <t>Статус культурного наследия</t>
  </si>
  <si>
    <t>нет</t>
  </si>
  <si>
    <t>16 52 07 02 04 35</t>
  </si>
  <si>
    <t>16 52 05 02 05 4</t>
  </si>
  <si>
    <t>14/05/1.</t>
  </si>
  <si>
    <t>Кол-во подземных этажей</t>
  </si>
  <si>
    <t>21/24Б</t>
  </si>
  <si>
    <t>Б-р Цветочный</t>
  </si>
  <si>
    <t>12Б</t>
  </si>
  <si>
    <t>№4 (49/03) т.56-96-71, 73-76-66</t>
  </si>
  <si>
    <t>1-151</t>
  </si>
  <si>
    <t>21/24В</t>
  </si>
  <si>
    <t>12В</t>
  </si>
  <si>
    <t>1-164</t>
  </si>
  <si>
    <t>21/24А</t>
  </si>
  <si>
    <t>23/11/1А</t>
  </si>
  <si>
    <t>9/24Е</t>
  </si>
  <si>
    <t>65/15А</t>
  </si>
  <si>
    <t>пр. Чулман</t>
  </si>
  <si>
    <t>Автозаводский</t>
  </si>
  <si>
    <t>17 (18)</t>
  </si>
  <si>
    <t>259,7/1</t>
  </si>
  <si>
    <t>1-152</t>
  </si>
  <si>
    <t>352,2/1</t>
  </si>
  <si>
    <t xml:space="preserve">Лукин Евгений Дмитриевич т.333510  </t>
  </si>
  <si>
    <t>23/11-1А</t>
  </si>
  <si>
    <t>65/15</t>
  </si>
  <si>
    <t>---</t>
  </si>
  <si>
    <t>16 52 060103 3025</t>
  </si>
  <si>
    <t>16 52 060103 4108</t>
  </si>
  <si>
    <t>16 52 060103 2334</t>
  </si>
  <si>
    <t>1-142</t>
  </si>
  <si>
    <t>16 52 060204 5871</t>
  </si>
  <si>
    <t>1-192</t>
  </si>
  <si>
    <t>16 52 070307 4507</t>
  </si>
  <si>
    <t>6</t>
  </si>
  <si>
    <t>5</t>
  </si>
  <si>
    <t>*</t>
  </si>
  <si>
    <t>3</t>
  </si>
  <si>
    <t>1-99, 100-180, 181-261, 262-360</t>
  </si>
  <si>
    <t>714,5</t>
  </si>
  <si>
    <t>887,9</t>
  </si>
  <si>
    <t>141,7</t>
  </si>
  <si>
    <t>401,6</t>
  </si>
  <si>
    <t>1417,4</t>
  </si>
  <si>
    <t>224,1</t>
  </si>
  <si>
    <t>261,8</t>
  </si>
  <si>
    <t>110,54</t>
  </si>
  <si>
    <t>499,8</t>
  </si>
  <si>
    <t>65,2</t>
  </si>
  <si>
    <t>34,3</t>
  </si>
  <si>
    <t>310,1</t>
  </si>
  <si>
    <t>122</t>
  </si>
  <si>
    <t>1246,1</t>
  </si>
  <si>
    <t>1816,1</t>
  </si>
  <si>
    <t>202,3</t>
  </si>
  <si>
    <t>1918,6</t>
  </si>
  <si>
    <t>137,1</t>
  </si>
  <si>
    <t>730,5</t>
  </si>
  <si>
    <t>1173,1</t>
  </si>
  <si>
    <t>137,5</t>
  </si>
  <si>
    <t>1299,1</t>
  </si>
  <si>
    <t>142,7</t>
  </si>
  <si>
    <t>213,5</t>
  </si>
  <si>
    <t>1056,3</t>
  </si>
  <si>
    <t>2015</t>
  </si>
  <si>
    <t>2686,0</t>
  </si>
  <si>
    <t>125,8</t>
  </si>
  <si>
    <t>376,7</t>
  </si>
  <si>
    <t>534,3</t>
  </si>
  <si>
    <t>117,2</t>
  </si>
  <si>
    <t>802,9</t>
  </si>
  <si>
    <t>1128,2</t>
  </si>
  <si>
    <t>903.7</t>
  </si>
  <si>
    <t>683</t>
  </si>
  <si>
    <t>112,6</t>
  </si>
  <si>
    <t>265</t>
  </si>
  <si>
    <t>557</t>
  </si>
  <si>
    <t>757</t>
  </si>
  <si>
    <t>63,9</t>
  </si>
  <si>
    <t>653,1</t>
  </si>
  <si>
    <t>796,8</t>
  </si>
  <si>
    <t>Общая площадь всего здания с лоджиями</t>
  </si>
  <si>
    <t>17 (19)</t>
  </si>
  <si>
    <t>16 (18)</t>
  </si>
  <si>
    <t>10 (12)</t>
  </si>
  <si>
    <t>индекс</t>
  </si>
  <si>
    <t>№</t>
  </si>
  <si>
    <t>Дом</t>
  </si>
  <si>
    <t>ФИО</t>
  </si>
  <si>
    <t>№ кв.</t>
  </si>
  <si>
    <t>17А/24А</t>
  </si>
  <si>
    <t>Загрутдинова Диляра Шаукатовна</t>
  </si>
  <si>
    <t>17А/24Б</t>
  </si>
  <si>
    <t>Широв Николай Васильевич</t>
  </si>
  <si>
    <t>42/21А</t>
  </si>
  <si>
    <t>37/20В</t>
  </si>
  <si>
    <t>Положенцева Светлана Ивановна</t>
  </si>
  <si>
    <t>44/11А</t>
  </si>
  <si>
    <t>12/34А</t>
  </si>
  <si>
    <t>Макарова Ирина Васильевна</t>
  </si>
  <si>
    <t>44/17А</t>
  </si>
  <si>
    <t>Миронов Виталий Григорьевич</t>
  </si>
  <si>
    <t>Валеев Ринат Рафисович</t>
  </si>
  <si>
    <t>Малясев Игорь Анатольевич</t>
  </si>
  <si>
    <t>Кашафутдинов Ильшат Ришатович</t>
  </si>
  <si>
    <t>Воробьев Георгий Давидович</t>
  </si>
  <si>
    <t>Замалетдинов Ильнар Алмазович</t>
  </si>
  <si>
    <t>Нурмухаметова Гузель Альбертовна</t>
  </si>
  <si>
    <t>Слепушкин Антон Валентинович</t>
  </si>
  <si>
    <t>8-927-456-21-61</t>
  </si>
  <si>
    <t>Газизова Резида Файзулловна</t>
  </si>
  <si>
    <t>Мусякаева Марина Павловна</t>
  </si>
  <si>
    <t>Телефонам не верить! только для исполкома</t>
  </si>
  <si>
    <t>908,1</t>
  </si>
  <si>
    <t>1544,8</t>
  </si>
  <si>
    <t>752,8</t>
  </si>
  <si>
    <t>94,8</t>
  </si>
  <si>
    <t>16 52 070307 5063</t>
  </si>
  <si>
    <t>16</t>
  </si>
  <si>
    <t>15</t>
  </si>
  <si>
    <t>Застройщик</t>
  </si>
  <si>
    <t>38/14</t>
  </si>
  <si>
    <t>64/01</t>
  </si>
  <si>
    <t>3-162</t>
  </si>
  <si>
    <t>356,6</t>
  </si>
  <si>
    <t>620,2</t>
  </si>
  <si>
    <t>180,3</t>
  </si>
  <si>
    <t>16 52 040103 6097</t>
  </si>
  <si>
    <t>Бетон</t>
  </si>
  <si>
    <t>Площадь э/щитовой, лифтовой, кв.м</t>
  </si>
  <si>
    <t>126</t>
  </si>
  <si>
    <t>7</t>
  </si>
  <si>
    <t>130</t>
  </si>
  <si>
    <t>ООО "Камская строительно-монтажная компания",1650089390</t>
  </si>
  <si>
    <t>ООО ГК "Профит"1650212170</t>
  </si>
  <si>
    <t>ООО "ИнертДобыча"1657062968</t>
  </si>
  <si>
    <t>ООО ГК "Профит"1650137029</t>
  </si>
  <si>
    <t>ООО "Йорт"1650247712</t>
  </si>
  <si>
    <t>ООО "Камская строительно-монтажная компания"1650089390</t>
  </si>
  <si>
    <t>ООО "Застройщик"1650233283</t>
  </si>
  <si>
    <t>ООО "Комфортстрой - НЧ"1650314119</t>
  </si>
  <si>
    <t>ООО "Комфортстрой"1650278037</t>
  </si>
  <si>
    <t>ООО "ЖСК "Доступное жилье"1650238651</t>
  </si>
  <si>
    <t>ООО ЖСК "Доступное жилье"1650238651</t>
  </si>
  <si>
    <t>ООО "Современное строительство"1650266930</t>
  </si>
  <si>
    <t>ООО "Инвестор"1650312785</t>
  </si>
  <si>
    <t>ООО ЖК  "Вертикаль"1650330103</t>
  </si>
  <si>
    <t>Строительная компания "БЕРЕГ"1650330135</t>
  </si>
  <si>
    <t>Дата внесения в реестр лицензий</t>
  </si>
  <si>
    <t>Кузнецова Алёна Александровна</t>
  </si>
  <si>
    <t>Лучинина  Юлия Владимировна</t>
  </si>
  <si>
    <t>Ул. им. И.Маннанова,д.10</t>
  </si>
  <si>
    <t>№1 от 08.12.2017</t>
  </si>
  <si>
    <t>№1 от 25.11.2013</t>
  </si>
  <si>
    <t>ул. Виктора Полякова,д.3</t>
  </si>
  <si>
    <t>№1 /2019 от 29.03.2019</t>
  </si>
  <si>
    <t>№1/2018 от 28.12.2018</t>
  </si>
  <si>
    <t>пр. Абдурахмана Абсалямова,д.15</t>
  </si>
  <si>
    <t>ул. Раскольникова 48</t>
  </si>
  <si>
    <t>№1/2018 от 31.05.2018</t>
  </si>
  <si>
    <t>65/15а</t>
  </si>
  <si>
    <t>пр. Абдурахмана Абсалямова,д.13</t>
  </si>
  <si>
    <t>№1/2018 от 01.03.2018</t>
  </si>
  <si>
    <t>23/11-1а</t>
  </si>
  <si>
    <t>б-р  Цветочный ,д.9/24Е</t>
  </si>
  <si>
    <t>№1/2018 от 28.02.2018</t>
  </si>
  <si>
    <t>б-р  Цветочный ,д.12А</t>
  </si>
  <si>
    <t>№1/2017 от 06.10.2017</t>
  </si>
  <si>
    <t>б-р  Цветочный ,д.12В</t>
  </si>
  <si>
    <t>№1/2017 от 01.05.2017</t>
  </si>
  <si>
    <t>б-р  Цветочный ,д.12Б</t>
  </si>
  <si>
    <t>№1/2017 от 02.03.2017</t>
  </si>
  <si>
    <t>пр. Абдурахмана Абсалямова,д.11</t>
  </si>
  <si>
    <t>№1/2017 от 01.02.2017</t>
  </si>
  <si>
    <t>ул. Виктора Полякова,д.21</t>
  </si>
  <si>
    <t>№1/2017 от 10.01.2017</t>
  </si>
  <si>
    <t>ул. Раскольникова</t>
  </si>
  <si>
    <t>65/20</t>
  </si>
  <si>
    <t>1-234</t>
  </si>
  <si>
    <t>Газобетон,облицовка кирпичом</t>
  </si>
  <si>
    <t>Дата внесения в программу кап.ремонта</t>
  </si>
  <si>
    <t>Соглашение №157 от 30.06.14</t>
  </si>
  <si>
    <t>Доп соглашение №1 от 02.03.2017</t>
  </si>
  <si>
    <t>357,7</t>
  </si>
  <si>
    <t>467,7</t>
  </si>
  <si>
    <t>150,5</t>
  </si>
  <si>
    <t>464,7</t>
  </si>
  <si>
    <t>84,94</t>
  </si>
  <si>
    <t>4</t>
  </si>
  <si>
    <t>Дата открытия л/с</t>
  </si>
  <si>
    <t>Галиев Денис Фанильевич</t>
  </si>
  <si>
    <t>Совет многоквартирных домов ООО Управляющая компания "ДОМиКо"</t>
  </si>
  <si>
    <t>20/12</t>
  </si>
  <si>
    <t>ООО "ИНВЕСТОР"</t>
  </si>
  <si>
    <t>16 52 060103 3655</t>
  </si>
  <si>
    <t>1-179</t>
  </si>
  <si>
    <t>Кол-во 5 комн кв-р</t>
  </si>
  <si>
    <t>21/25</t>
  </si>
  <si>
    <t>38/15</t>
  </si>
  <si>
    <t>пр. Вахитова</t>
  </si>
  <si>
    <t>48/1</t>
  </si>
  <si>
    <t>65/21</t>
  </si>
  <si>
    <t>64/02</t>
  </si>
  <si>
    <t>ООО "КАМАИНВЕСТСТРОЙ"</t>
  </si>
  <si>
    <t>ООО ЖК  "Вертикаль"</t>
  </si>
  <si>
    <t>площадь нежилых помещений (без моп)</t>
  </si>
  <si>
    <t>64/03</t>
  </si>
  <si>
    <t>64/04</t>
  </si>
  <si>
    <t>64/05</t>
  </si>
  <si>
    <t>64/06</t>
  </si>
  <si>
    <t>ООО СК "Берег"</t>
  </si>
  <si>
    <t>25(27)</t>
  </si>
  <si>
    <t>(19)20</t>
  </si>
  <si>
    <t>338,7</t>
  </si>
  <si>
    <t>553,8</t>
  </si>
  <si>
    <t>637,7</t>
  </si>
  <si>
    <t>149</t>
  </si>
  <si>
    <t>1-160</t>
  </si>
  <si>
    <t>реальн</t>
  </si>
  <si>
    <t>20/12.</t>
  </si>
  <si>
    <t>Итого:</t>
  </si>
  <si>
    <t>Общие сведения  о жилищном фонде, обслуживаемом ООО УК "ДОМиКо"</t>
  </si>
  <si>
    <t>1-349</t>
  </si>
  <si>
    <t>1-198</t>
  </si>
  <si>
    <t>1-176</t>
  </si>
  <si>
    <t>Адрес</t>
  </si>
  <si>
    <t>2-156</t>
  </si>
  <si>
    <t>7-214</t>
  </si>
  <si>
    <t>Лифтпромсервис</t>
  </si>
  <si>
    <t>Татпромтек</t>
  </si>
  <si>
    <t>пр.Вахитова</t>
  </si>
  <si>
    <t>236,8</t>
  </si>
  <si>
    <t>511,8</t>
  </si>
  <si>
    <t>Д</t>
  </si>
  <si>
    <t>16 52 070307 105</t>
  </si>
  <si>
    <t>Газобетонные  блоки</t>
  </si>
  <si>
    <t>14а</t>
  </si>
  <si>
    <t>пр.Раиса Беляева</t>
  </si>
  <si>
    <t>ООО СК "Берег" 1650330135</t>
  </si>
  <si>
    <t>1-204</t>
  </si>
  <si>
    <t>65/06</t>
  </si>
  <si>
    <t>проспект Абдурахмана Абсалямова</t>
  </si>
  <si>
    <t>РРЦ  стало</t>
  </si>
  <si>
    <t>ТУ Автозаводский</t>
  </si>
  <si>
    <t>ТУ Яшьлек</t>
  </si>
  <si>
    <t>ТУ Московский</t>
  </si>
  <si>
    <t>ТУ  Замелекесье</t>
  </si>
  <si>
    <t>ТУ Центральный</t>
  </si>
  <si>
    <t>ТУ  Комфортный</t>
  </si>
  <si>
    <t>ТУ Прибрежный</t>
  </si>
  <si>
    <t>пр. Х.Туфана, д.4 (54/08) т.59-14-70,                    т.59/14-75(д/УК)</t>
  </si>
  <si>
    <t>№10 Московский ,140 А, т. 911-050, т.59-30-90</t>
  </si>
  <si>
    <t xml:space="preserve">Школьный, д.3 (н.г.17/10)   т.32-22-16                         </t>
  </si>
  <si>
    <t>б-р Касимова, д.13 (39/10) , т. 51-27-00</t>
  </si>
  <si>
    <t>н/г 2/07 пр-т Х. Туфана, д.8,  т.49-39-27</t>
  </si>
  <si>
    <t>42А</t>
  </si>
  <si>
    <t>14А</t>
  </si>
  <si>
    <t>14Б</t>
  </si>
  <si>
    <t>Сармановский тракт, д.17а ,   т. 49-13-56</t>
  </si>
  <si>
    <t>16:52:070307:29, 16:52:070307:163</t>
  </si>
  <si>
    <t>1-190</t>
  </si>
  <si>
    <t>530,7</t>
  </si>
  <si>
    <t>488,5</t>
  </si>
  <si>
    <t>139,6</t>
  </si>
  <si>
    <t>16:52:050203:30</t>
  </si>
  <si>
    <t>1-171</t>
  </si>
  <si>
    <t>472,6</t>
  </si>
  <si>
    <t>1094,2</t>
  </si>
  <si>
    <t>327,8</t>
  </si>
  <si>
    <t>11</t>
  </si>
  <si>
    <t>230</t>
  </si>
  <si>
    <t>150</t>
  </si>
  <si>
    <t>180</t>
  </si>
  <si>
    <t>140</t>
  </si>
  <si>
    <t>156</t>
  </si>
  <si>
    <t>148</t>
  </si>
  <si>
    <t>105</t>
  </si>
  <si>
    <t>1622</t>
  </si>
  <si>
    <t>222,9</t>
  </si>
  <si>
    <t>660</t>
  </si>
  <si>
    <t>Фур Юлия Владимировна</t>
  </si>
  <si>
    <t>Пантерин Дмитрий Николаевич</t>
  </si>
  <si>
    <t>Юнусова Зульфия Зуфаровна</t>
  </si>
  <si>
    <t>Чураева Альфия Ансаровна</t>
  </si>
  <si>
    <t>Гайнутдинов Ренат Госманович</t>
  </si>
  <si>
    <t>Махмудов Руслан Ахмедович</t>
  </si>
  <si>
    <t>Васильев Семён Николаевич</t>
  </si>
  <si>
    <t>Муртаев Максим Сайкенович</t>
  </si>
  <si>
    <t>Резвых Алевтина Георгиевна</t>
  </si>
  <si>
    <t>Стрельников Владимир Александрович</t>
  </si>
  <si>
    <t>Зубова Юлия Сергеевна</t>
  </si>
  <si>
    <t>Шадрин Сергей Юрьевич</t>
  </si>
  <si>
    <t>14/05-1.</t>
  </si>
  <si>
    <t>индивидуальные приборы учета тепла</t>
  </si>
  <si>
    <t>госповерка</t>
  </si>
  <si>
    <t>Класс энергоэффективности</t>
  </si>
  <si>
    <t>объем потребления тепловой энергии</t>
  </si>
  <si>
    <t>закрытая</t>
  </si>
  <si>
    <t>общедомовые приборы учета тепла</t>
  </si>
  <si>
    <t>монолитные, газобетон, киприч</t>
  </si>
  <si>
    <t>монолитный ж/б каркас, пенобетонные блоки, облицовка кирпичом</t>
  </si>
  <si>
    <t>Газобетон, облицовка кирпичом, композитными панелями</t>
  </si>
  <si>
    <t>монолитный железобетонный каркас, газобетонные блоки</t>
  </si>
  <si>
    <t>16:52:060103:73</t>
  </si>
  <si>
    <t>16:52:040103:68</t>
  </si>
  <si>
    <t>16:52:070307:163</t>
  </si>
  <si>
    <t>Возраст дома в месяцах на 01.01.2021</t>
  </si>
  <si>
    <t>Пенобетонные блоки,кирпичные, бетонные</t>
  </si>
  <si>
    <t>А-очень высокий</t>
  </si>
  <si>
    <t>Кол-во квартир</t>
  </si>
  <si>
    <t>Предложения по дальнейшему использованию</t>
  </si>
  <si>
    <t>капремонт</t>
  </si>
  <si>
    <t>Этажность (без подвала и чердака)</t>
  </si>
  <si>
    <t>Жилищный фонд ООО УК "ДОМиКо" на 01.01.2021 г.</t>
  </si>
  <si>
    <t>н.г. пр.Чулман, 8       т.49-00-24,                       т.49-00-28  (д/УК)</t>
  </si>
  <si>
    <t>н.г. пр.Чулман, 8      т.49-00-24,                       т.49-00-28  (д/УК)</t>
  </si>
  <si>
    <t>Кладовки, в числе нежилой</t>
  </si>
  <si>
    <t>офисы, в числе нежилой</t>
  </si>
  <si>
    <t>16:52:040101:3221</t>
  </si>
  <si>
    <t>1-125, 126-286</t>
  </si>
  <si>
    <t>01.05.21 ( Постан.РТ № 905 от 05.10.2020/06.10.2020)</t>
  </si>
  <si>
    <t>01.08.19 ( Постан.РТ №1230 от 25.12.18/10.01.19)</t>
  </si>
  <si>
    <t>Совет МКД (Хамидуллина Альбина Ильдаровна кв.80, Зиатдинова Лилия Наилевна кв.79, Родионова Лейсан Рашидовна кв.77)</t>
  </si>
  <si>
    <t>Совет МКД</t>
  </si>
  <si>
    <t>64/08</t>
  </si>
  <si>
    <t>16:52:070307:10051</t>
  </si>
  <si>
    <t>1-187</t>
  </si>
  <si>
    <t>С</t>
  </si>
  <si>
    <t>14в</t>
  </si>
  <si>
    <t>42Б</t>
  </si>
  <si>
    <t>1-254</t>
  </si>
  <si>
    <t>Венец плюс</t>
  </si>
  <si>
    <t>64/09</t>
  </si>
  <si>
    <t>14/14г</t>
  </si>
  <si>
    <t>16:52:070307:10052</t>
  </si>
  <si>
    <t>1-266</t>
  </si>
  <si>
    <t>1-102</t>
  </si>
  <si>
    <t>42В</t>
  </si>
  <si>
    <t>Тариф, руб.</t>
  </si>
  <si>
    <t xml:space="preserve">Стоимость, руб </t>
  </si>
  <si>
    <t>Кол-во лифтов</t>
  </si>
  <si>
    <t>Кол-во остановок</t>
  </si>
  <si>
    <t>г/п, кг</t>
  </si>
  <si>
    <t>зав №</t>
  </si>
  <si>
    <t>000494</t>
  </si>
  <si>
    <t>000493</t>
  </si>
  <si>
    <t>000466</t>
  </si>
  <si>
    <t>000467</t>
  </si>
  <si>
    <t>000533</t>
  </si>
  <si>
    <t>000534</t>
  </si>
  <si>
    <t>000522</t>
  </si>
  <si>
    <t>000521</t>
  </si>
  <si>
    <t>228971</t>
  </si>
  <si>
    <t>228972</t>
  </si>
  <si>
    <t>228973</t>
  </si>
  <si>
    <t>228974</t>
  </si>
  <si>
    <t>228975</t>
  </si>
  <si>
    <t>228976</t>
  </si>
  <si>
    <t>228977</t>
  </si>
  <si>
    <t>228978</t>
  </si>
  <si>
    <t>235867</t>
  </si>
  <si>
    <t>235866</t>
  </si>
  <si>
    <t>238328</t>
  </si>
  <si>
    <t>238327</t>
  </si>
  <si>
    <t>247059</t>
  </si>
  <si>
    <t>247058</t>
  </si>
  <si>
    <t>255603</t>
  </si>
  <si>
    <t>255602</t>
  </si>
  <si>
    <t>262722</t>
  </si>
  <si>
    <t>262721</t>
  </si>
  <si>
    <t>259093</t>
  </si>
  <si>
    <t>259094</t>
  </si>
  <si>
    <t>Сосенков Антон Андреевич 9874125215</t>
  </si>
  <si>
    <t>Сафина Минненазия Мирзиановна 9178555336</t>
  </si>
  <si>
    <t>Файзуллина Альфия Закариевна 9600607474</t>
  </si>
  <si>
    <t>Мустафина Зульфия Зуфаровна 9872852431</t>
  </si>
  <si>
    <t>Ахметзянова Зенира Вахитовна 9871841572</t>
  </si>
  <si>
    <t>Файзуллина Юлия Вячеславовна 9274621606</t>
  </si>
  <si>
    <t>34/01б3б4</t>
  </si>
  <si>
    <t>11А</t>
  </si>
  <si>
    <t>1-340</t>
  </si>
  <si>
    <t>64/10</t>
  </si>
  <si>
    <t>32а,96а,8а,16а,24а,40а,48а,56а,64а,72а,80а,88а,104а,112а,120а,128а,1-8,9-16,17-24,25-40,41-48,49-56,57-64,65-72,73-80,81-88,89-104,105-112,113-120,121-128.</t>
  </si>
  <si>
    <t>Наиенование управляющей компании</t>
  </si>
  <si>
    <t xml:space="preserve">ООО УК "ДОМиКо" </t>
  </si>
  <si>
    <t>Отвественное лицо</t>
  </si>
  <si>
    <t>Контактный телефон</t>
  </si>
  <si>
    <t>Годовое потребление тепловой энергии  (Гкал)</t>
  </si>
  <si>
    <t>Суммарные годовые затраты на тепловую энергию                           (тыс. рублей)</t>
  </si>
  <si>
    <t>Годовое потребление электрической  энергии  (тыс.кВт)</t>
  </si>
  <si>
    <t>Суммарные годовые затраты на электрическую энергию                    (тыс. рублей)</t>
  </si>
  <si>
    <t>Годовое потребление воды              (тыс. куб. метров)</t>
  </si>
  <si>
    <t>Суммарные годовые затраты на полату водоснабжения                   (тыс. рублей)</t>
  </si>
  <si>
    <t>пр. Набережночелнинский</t>
  </si>
  <si>
    <t>5а</t>
  </si>
  <si>
    <t>17а</t>
  </si>
  <si>
    <t>5б</t>
  </si>
  <si>
    <t>17б</t>
  </si>
  <si>
    <t>ул. Пушкина</t>
  </si>
  <si>
    <t xml:space="preserve">ул. И. Маннанова </t>
  </si>
  <si>
    <t>37в</t>
  </si>
  <si>
    <t>б-р Кол Гали</t>
  </si>
  <si>
    <t>ул. Ш. Усманова</t>
  </si>
  <si>
    <t>44/11а</t>
  </si>
  <si>
    <t>ул.Железнодорожников</t>
  </si>
  <si>
    <t>12а</t>
  </si>
  <si>
    <t>пр.Чулман</t>
  </si>
  <si>
    <t>12/34а</t>
  </si>
  <si>
    <t>87а</t>
  </si>
  <si>
    <t>44/17а</t>
  </si>
  <si>
    <t>37г</t>
  </si>
  <si>
    <t>пр.Р.Беляева</t>
  </si>
  <si>
    <t>76а</t>
  </si>
  <si>
    <t>12б</t>
  </si>
  <si>
    <t>12г</t>
  </si>
  <si>
    <t>21б</t>
  </si>
  <si>
    <t>21в</t>
  </si>
  <si>
    <t>21а</t>
  </si>
  <si>
    <t>23а</t>
  </si>
  <si>
    <t>34/01б1б2</t>
  </si>
  <si>
    <t>16:52:070307:10053</t>
  </si>
  <si>
    <t>Кол-во проживающих на 01.12.2021</t>
  </si>
  <si>
    <t>ул. Виктора Полякова 15</t>
  </si>
  <si>
    <t>14/14а</t>
  </si>
  <si>
    <t>14/14б</t>
  </si>
  <si>
    <t>14/14в</t>
  </si>
  <si>
    <t>Жилищный фонд ДОМиКо</t>
  </si>
  <si>
    <t>в</t>
  </si>
  <si>
    <t>г</t>
  </si>
  <si>
    <t>х</t>
  </si>
  <si>
    <t>о</t>
  </si>
  <si>
    <t>д</t>
  </si>
  <si>
    <t>п</t>
  </si>
  <si>
    <t>с</t>
  </si>
  <si>
    <t>т</t>
  </si>
  <si>
    <t>Садриева Регина Рифовна</t>
  </si>
  <si>
    <t>Тухватуллина Ильсияр Наильевна</t>
  </si>
  <si>
    <t>Султанова Лилия Заудатовна</t>
  </si>
  <si>
    <t>Кандакова Чулпан Ринатовна</t>
  </si>
  <si>
    <t>Харисова Эльвира Расимовна</t>
  </si>
  <si>
    <t>Ганиуллина Римма Андреевна</t>
  </si>
  <si>
    <t>Хасанов Айнур Винерович</t>
  </si>
  <si>
    <t>34/01б5б6</t>
  </si>
  <si>
    <t>1-233,234-394</t>
  </si>
  <si>
    <t>1-170</t>
  </si>
  <si>
    <t>площадь по тех. Пасп.</t>
  </si>
  <si>
    <t>Общая</t>
  </si>
  <si>
    <t>Жилая</t>
  </si>
  <si>
    <t>Нежилая</t>
  </si>
  <si>
    <t>1-188</t>
  </si>
  <si>
    <t>1-189</t>
  </si>
  <si>
    <t>ул. Виктора Полякова 9Б</t>
  </si>
  <si>
    <t>ул. Виктора Полякова 9А</t>
  </si>
  <si>
    <t>12/07б</t>
  </si>
  <si>
    <t>37/20в</t>
  </si>
  <si>
    <t>37/20г</t>
  </si>
  <si>
    <t>12/07а</t>
  </si>
  <si>
    <t>53/21г</t>
  </si>
  <si>
    <t>16/01а</t>
  </si>
  <si>
    <t>12/07г</t>
  </si>
  <si>
    <t>21/24б</t>
  </si>
  <si>
    <t>21/24в</t>
  </si>
  <si>
    <t>21/24а</t>
  </si>
  <si>
    <t>34/02б1б2</t>
  </si>
  <si>
    <t>и-19</t>
  </si>
  <si>
    <t>б-19</t>
  </si>
  <si>
    <t>17а/24б</t>
  </si>
  <si>
    <t>17а/24а</t>
  </si>
  <si>
    <t>42/21а</t>
  </si>
  <si>
    <t>64/07</t>
  </si>
  <si>
    <t>кладовки</t>
  </si>
  <si>
    <t>офисы</t>
  </si>
  <si>
    <t>машиноместа</t>
  </si>
  <si>
    <t>65/03</t>
  </si>
  <si>
    <t>1-120,121-229,230-349,350-399</t>
  </si>
  <si>
    <t>Пр-т Набережночелнинский 5Б</t>
  </si>
  <si>
    <t>Пр-т Набережночелнинский 5А</t>
  </si>
  <si>
    <t>Ул. Пушкина 5</t>
  </si>
  <si>
    <t>Ул. Раскольникова 51</t>
  </si>
  <si>
    <t>Ул. им. И.Маннанова 8</t>
  </si>
  <si>
    <t>Ул. Ш. Усманова 87</t>
  </si>
  <si>
    <t>Б-р Кол Гали 19</t>
  </si>
  <si>
    <t>Ул. Железнодорожников 12А</t>
  </si>
  <si>
    <t>Пр. Чулман 67</t>
  </si>
  <si>
    <t>Ул. Ш. Усманова 87А</t>
  </si>
  <si>
    <t>Ул. им. И.Маннанова 10</t>
  </si>
  <si>
    <t>ул. Раиса Беляева 76</t>
  </si>
  <si>
    <t>ул. Раиса Беляева 76А</t>
  </si>
  <si>
    <t>пр. Московский  134А</t>
  </si>
  <si>
    <t>пр. Раиса Беляева 28</t>
  </si>
  <si>
    <t>пр. Раиса Беляева 76Г</t>
  </si>
  <si>
    <t>ул. Аделя Кутуя 18</t>
  </si>
  <si>
    <t>ул. Виктора Полякова 21</t>
  </si>
  <si>
    <t>пр. Абдурахмана Абсалямова 11</t>
  </si>
  <si>
    <t>Б-р Цветочный 12Б</t>
  </si>
  <si>
    <t>Б-р Цветочный 12В</t>
  </si>
  <si>
    <t>Б-р Цветочный 12А</t>
  </si>
  <si>
    <t>Б-р Цветочный 9/24Е</t>
  </si>
  <si>
    <t>пр. Абдурахмана Абсалямова 13</t>
  </si>
  <si>
    <t>пр. Абдурахмана Абсалямова 15</t>
  </si>
  <si>
    <t>Ул. Раскольникова 48</t>
  </si>
  <si>
    <t>ул. Виктора Полякова 3</t>
  </si>
  <si>
    <t>ул. Аделя Кутуя 14</t>
  </si>
  <si>
    <t>пр. Вахитова 32</t>
  </si>
  <si>
    <t>Ул. Раскольникова 48/1</t>
  </si>
  <si>
    <t>Б-р Цветочный 5А</t>
  </si>
  <si>
    <t>ул. Аделя Кутуя 16</t>
  </si>
  <si>
    <t>ул. Виктора Полякова 7</t>
  </si>
  <si>
    <t>пр.Раиса Беляева 42</t>
  </si>
  <si>
    <t>ул. Виктора Полякова 9</t>
  </si>
  <si>
    <t>пр.Раиса Беляева 42А</t>
  </si>
  <si>
    <t>ул. Раскольникова 11</t>
  </si>
  <si>
    <t>ул. Виктора Полякова 5А</t>
  </si>
  <si>
    <t>пр.Раиса Беляева 42Б</t>
  </si>
  <si>
    <t>ул. Виктора Полякова 13</t>
  </si>
  <si>
    <t>ул. Раскольникова 11А</t>
  </si>
  <si>
    <t>пр.Раиса Беляева 42В</t>
  </si>
  <si>
    <t>ул. Раскольникова 11Б</t>
  </si>
  <si>
    <t>у. Шамиля Усманова 18Е</t>
  </si>
  <si>
    <t>ул. Раскольникова  9</t>
  </si>
  <si>
    <t>Ул. Ш. Усманова 18В</t>
  </si>
  <si>
    <t>ул. Виктора Полякова9В</t>
  </si>
  <si>
    <t>ул. Виктора Полякова17А</t>
  </si>
  <si>
    <t>Евтеева Оксана Владимировна (реальная)</t>
  </si>
  <si>
    <t>А-25</t>
  </si>
  <si>
    <t>в-19</t>
  </si>
  <si>
    <t>ж-19</t>
  </si>
  <si>
    <t>34/02</t>
  </si>
  <si>
    <t>ул. Академика Королева 20Г</t>
  </si>
  <si>
    <t>ул. Виктора Полякова 11</t>
  </si>
  <si>
    <t>Ул. Шамиля Усманова 18Г</t>
  </si>
  <si>
    <t>Ул. Шамиля Усманова 18Ж</t>
  </si>
  <si>
    <t>1-274</t>
  </si>
  <si>
    <t xml:space="preserve">Харисова Рузиля Мисгатовна </t>
  </si>
  <si>
    <t>Слушкова Светлана Васильевна</t>
  </si>
  <si>
    <t>№ п/п дома</t>
  </si>
  <si>
    <t>Адрес дома</t>
  </si>
  <si>
    <t>26А/9</t>
  </si>
  <si>
    <t>А-25/2</t>
  </si>
  <si>
    <t>Ул. Шамиля Усманова, д.18А</t>
  </si>
  <si>
    <t xml:space="preserve">Ул. Жданова, д.17 </t>
  </si>
  <si>
    <t>1-29,30-52</t>
  </si>
  <si>
    <t>1-299</t>
  </si>
  <si>
    <t>1-29,30-50,51-76</t>
  </si>
  <si>
    <t>26А/8</t>
  </si>
  <si>
    <t>Ул. Жданова, д.15</t>
  </si>
  <si>
    <t>РРЦ (территориальный участок)</t>
  </si>
  <si>
    <t>н.г. пр.Чулман, 8  т.49-00-24,  т.49-00-28  (д/УК)</t>
  </si>
  <si>
    <t xml:space="preserve">17/10  (н.г., б-р. Школьный, д.3)   т.32-22-16                         </t>
  </si>
  <si>
    <t>54/08 (н.г., пр. Х.Туфана, д.4)   т.59-14-70,  т.59-14-75</t>
  </si>
  <si>
    <t>39/10 (н.г., б-р Касимова, д.13 ) ,     т. 51-27-00</t>
  </si>
  <si>
    <t>60/09 (н.г., ул. Ахметшина, 130)      тел.74-54-59</t>
  </si>
  <si>
    <t>н.г., пр. Московский ,140 А,       т.59-30-90</t>
  </si>
  <si>
    <t>А-25/1</t>
  </si>
  <si>
    <t>Слушкова Светлана Васильевна,                  905-370-58-03</t>
  </si>
  <si>
    <t>26А/7</t>
  </si>
  <si>
    <t>Ул. Жданова, д.13</t>
  </si>
  <si>
    <t>34/06</t>
  </si>
  <si>
    <t>1-245,246-434,435-718</t>
  </si>
  <si>
    <t>ул. Раскольникова,5В</t>
  </si>
  <si>
    <t>34/09</t>
  </si>
  <si>
    <t>ул. Раскольникова,5Г</t>
  </si>
  <si>
    <t>26А/5</t>
  </si>
  <si>
    <t>26А/6</t>
  </si>
  <si>
    <t>Ул. Жданова, д.11</t>
  </si>
  <si>
    <t>Ул. Жданова, д.9</t>
  </si>
  <si>
    <t>Сармановский тракт, д.17а ,   т. 49-13-57</t>
  </si>
  <si>
    <t>Ул. Жданова, д.7</t>
  </si>
  <si>
    <t>26А/4</t>
  </si>
  <si>
    <t>64 дома</t>
  </si>
  <si>
    <t>на 01.11.2025</t>
  </si>
  <si>
    <t>52 дома</t>
  </si>
  <si>
    <t>на 01.06.2023</t>
  </si>
  <si>
    <t>38в</t>
  </si>
  <si>
    <t>34п</t>
  </si>
  <si>
    <t>21/24д</t>
  </si>
  <si>
    <t>21/24г</t>
  </si>
  <si>
    <t>20/12,</t>
  </si>
  <si>
    <t>18д</t>
  </si>
  <si>
    <t>14/14д</t>
  </si>
  <si>
    <t>14/05-1,</t>
  </si>
  <si>
    <t>12/07в</t>
  </si>
  <si>
    <t>итого</t>
  </si>
  <si>
    <t>34/16</t>
  </si>
  <si>
    <t>ул. Раскольникова,5Б</t>
  </si>
  <si>
    <t>пр. Абдурахмана Абсалямова, д.2 корп.3</t>
  </si>
  <si>
    <t>пр. Абдурахмана Абсалямова, д.2 корп.2</t>
  </si>
  <si>
    <t>73/1/3</t>
  </si>
  <si>
    <t>73/1/2</t>
  </si>
  <si>
    <t>Файзуллин Айрат Маратович</t>
  </si>
  <si>
    <t xml:space="preserve">Лукин Евгений Дмитриевич </t>
  </si>
  <si>
    <t xml:space="preserve">Слушкова Светлана Васильевна,                  </t>
  </si>
  <si>
    <t xml:space="preserve">Сафина Минненазия Мирзиановна </t>
  </si>
  <si>
    <t xml:space="preserve">Мустафина Зульфия Зуфаровна </t>
  </si>
  <si>
    <t xml:space="preserve">Ахметзянова Зенира Вахитовна </t>
  </si>
  <si>
    <t xml:space="preserve">Файзуллина Альфия Закариевна </t>
  </si>
  <si>
    <t xml:space="preserve">Мустафина Галия Дуфаковна </t>
  </si>
  <si>
    <t xml:space="preserve">Файзуллина Юлия Вячеславовна </t>
  </si>
  <si>
    <t>Почтовый адрес</t>
  </si>
  <si>
    <t>Строительный адрес</t>
  </si>
  <si>
    <t>Жилищный фонд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</si>
</sst>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#,##0.0"/>
    <numFmt numFmtId="166" formatCode="0.0%"/>
    <numFmt numFmtId="167" formatCode="0.0"/>
  </numFmts>
  <fonts count="7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i/>
      <sz val="11"/>
      <name val="Times New Roman"/>
      <family val="1"/>
      <charset val="204"/>
    </font>
    <font>
      <sz val="24"/>
      <name val="Calibri"/>
      <family val="2"/>
      <charset val="204"/>
      <scheme val="minor"/>
    </font>
    <font>
      <b/>
      <sz val="24"/>
      <name val="Calibri"/>
      <family val="2"/>
      <charset val="204"/>
      <scheme val="minor"/>
    </font>
    <font>
      <sz val="24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8"/>
      <color rgb="FFFF0000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  <font>
      <b/>
      <sz val="25"/>
      <color theme="1"/>
      <name val="Times New Roman"/>
      <family val="1"/>
      <charset val="204"/>
    </font>
    <font>
      <b/>
      <sz val="30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sz val="25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9" fontId="19" fillId="0" borderId="0" applyFont="0" applyFill="0" applyBorder="0" applyAlignment="0" applyProtection="0"/>
    <xf numFmtId="164" fontId="19" fillId="0" borderId="0" applyFont="0" applyFill="0" applyBorder="0" applyAlignment="0" applyProtection="0"/>
  </cellStyleXfs>
  <cellXfs count="557">
    <xf numFmtId="0" fontId="0" fillId="0" borderId="0" xfId="0"/>
    <xf numFmtId="0" fontId="8" fillId="3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/>
    <xf numFmtId="0" fontId="1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18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0" fontId="17" fillId="3" borderId="0" xfId="0" applyFont="1" applyFill="1" applyAlignment="1">
      <alignment horizontal="center" vertical="center" wrapText="1"/>
    </xf>
    <xf numFmtId="0" fontId="17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7" fillId="3" borderId="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17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20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/>
    </xf>
    <xf numFmtId="165" fontId="6" fillId="3" borderId="1" xfId="0" applyNumberFormat="1" applyFont="1" applyFill="1" applyBorder="1" applyAlignment="1">
      <alignment horizontal="right" vertical="center" wrapText="1"/>
    </xf>
    <xf numFmtId="0" fontId="23" fillId="3" borderId="6" xfId="0" applyFont="1" applyFill="1" applyBorder="1" applyAlignment="1">
      <alignment vertical="center"/>
    </xf>
    <xf numFmtId="0" fontId="23" fillId="3" borderId="18" xfId="0" applyFont="1" applyFill="1" applyBorder="1" applyAlignment="1">
      <alignment vertical="center"/>
    </xf>
    <xf numFmtId="14" fontId="23" fillId="3" borderId="6" xfId="0" applyNumberFormat="1" applyFont="1" applyFill="1" applyBorder="1" applyAlignment="1">
      <alignment horizontal="center" vertical="center"/>
    </xf>
    <xf numFmtId="165" fontId="23" fillId="3" borderId="6" xfId="0" applyNumberFormat="1" applyFont="1" applyFill="1" applyBorder="1" applyAlignment="1">
      <alignment vertical="center"/>
    </xf>
    <xf numFmtId="14" fontId="23" fillId="3" borderId="18" xfId="0" applyNumberFormat="1" applyFont="1" applyFill="1" applyBorder="1" applyAlignment="1">
      <alignment horizontal="center" vertical="center"/>
    </xf>
    <xf numFmtId="165" fontId="23" fillId="3" borderId="18" xfId="0" applyNumberFormat="1" applyFont="1" applyFill="1" applyBorder="1" applyAlignment="1">
      <alignment vertical="center"/>
    </xf>
    <xf numFmtId="14" fontId="8" fillId="3" borderId="0" xfId="0" applyNumberFormat="1" applyFont="1" applyFill="1" applyAlignment="1">
      <alignment horizontal="center" vertical="center"/>
    </xf>
    <xf numFmtId="165" fontId="14" fillId="3" borderId="0" xfId="0" applyNumberFormat="1" applyFont="1" applyFill="1" applyAlignment="1">
      <alignment vertical="center"/>
    </xf>
    <xf numFmtId="0" fontId="22" fillId="3" borderId="1" xfId="0" applyFont="1" applyFill="1" applyBorder="1" applyAlignment="1">
      <alignment horizontal="left" vertical="center" wrapText="1"/>
    </xf>
    <xf numFmtId="14" fontId="22" fillId="3" borderId="1" xfId="0" applyNumberFormat="1" applyFont="1" applyFill="1" applyBorder="1" applyAlignment="1">
      <alignment horizontal="center" vertical="center" wrapText="1"/>
    </xf>
    <xf numFmtId="3" fontId="22" fillId="3" borderId="1" xfId="0" applyNumberFormat="1" applyFont="1" applyFill="1" applyBorder="1" applyAlignment="1">
      <alignment horizontal="center" vertical="center" wrapText="1"/>
    </xf>
    <xf numFmtId="165" fontId="22" fillId="3" borderId="1" xfId="0" applyNumberFormat="1" applyFont="1" applyFill="1" applyBorder="1" applyAlignment="1">
      <alignment horizontal="right" vertical="center" wrapText="1"/>
    </xf>
    <xf numFmtId="49" fontId="25" fillId="3" borderId="1" xfId="0" applyNumberFormat="1" applyFont="1" applyFill="1" applyBorder="1" applyAlignment="1">
      <alignment horizontal="center" vertical="center" wrapText="1"/>
    </xf>
    <xf numFmtId="1" fontId="22" fillId="3" borderId="1" xfId="0" applyNumberFormat="1" applyFont="1" applyFill="1" applyBorder="1" applyAlignment="1">
      <alignment horizontal="center" vertical="center" wrapText="1"/>
    </xf>
    <xf numFmtId="49" fontId="22" fillId="3" borderId="1" xfId="0" applyNumberFormat="1" applyFont="1" applyFill="1" applyBorder="1" applyAlignment="1">
      <alignment horizontal="center" vertical="center" wrapText="1"/>
    </xf>
    <xf numFmtId="165" fontId="22" fillId="3" borderId="1" xfId="0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/>
    </xf>
    <xf numFmtId="14" fontId="25" fillId="3" borderId="1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27" fillId="3" borderId="18" xfId="0" applyFont="1" applyFill="1" applyBorder="1" applyAlignment="1">
      <alignment vertical="center"/>
    </xf>
    <xf numFmtId="14" fontId="27" fillId="3" borderId="18" xfId="0" applyNumberFormat="1" applyFont="1" applyFill="1" applyBorder="1" applyAlignment="1">
      <alignment horizontal="center" vertical="center"/>
    </xf>
    <xf numFmtId="0" fontId="27" fillId="3" borderId="18" xfId="0" applyFont="1" applyFill="1" applyBorder="1" applyAlignment="1">
      <alignment horizontal="center" vertical="center"/>
    </xf>
    <xf numFmtId="0" fontId="7" fillId="3" borderId="0" xfId="0" applyFont="1" applyFill="1" applyAlignment="1">
      <alignment vertical="center"/>
    </xf>
    <xf numFmtId="14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8" fillId="3" borderId="0" xfId="0" applyFont="1" applyFill="1" applyAlignment="1">
      <alignment vertical="center"/>
    </xf>
    <xf numFmtId="0" fontId="29" fillId="3" borderId="0" xfId="0" applyFont="1" applyFill="1" applyAlignment="1">
      <alignment vertical="center"/>
    </xf>
    <xf numFmtId="0" fontId="29" fillId="3" borderId="13" xfId="0" applyFont="1" applyFill="1" applyBorder="1" applyAlignment="1">
      <alignment horizontal="center" vertical="center"/>
    </xf>
    <xf numFmtId="0" fontId="29" fillId="3" borderId="14" xfId="0" applyFont="1" applyFill="1" applyBorder="1" applyAlignment="1">
      <alignment horizontal="center" vertical="center"/>
    </xf>
    <xf numFmtId="0" fontId="30" fillId="3" borderId="8" xfId="0" applyFont="1" applyFill="1" applyBorder="1" applyAlignment="1">
      <alignment horizontal="center" vertical="center" wrapText="1"/>
    </xf>
    <xf numFmtId="0" fontId="31" fillId="3" borderId="7" xfId="0" applyFont="1" applyFill="1" applyBorder="1" applyAlignment="1">
      <alignment horizontal="center" vertical="center" wrapText="1"/>
    </xf>
    <xf numFmtId="0" fontId="30" fillId="3" borderId="7" xfId="0" applyFont="1" applyFill="1" applyBorder="1" applyAlignment="1">
      <alignment horizontal="left" vertical="center" wrapText="1"/>
    </xf>
    <xf numFmtId="0" fontId="30" fillId="3" borderId="9" xfId="0" applyFont="1" applyFill="1" applyBorder="1" applyAlignment="1">
      <alignment horizontal="center" vertical="center" wrapText="1"/>
    </xf>
    <xf numFmtId="0" fontId="30" fillId="3" borderId="10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left" vertical="center" wrapText="1"/>
    </xf>
    <xf numFmtId="0" fontId="30" fillId="3" borderId="11" xfId="0" applyFont="1" applyFill="1" applyBorder="1" applyAlignment="1">
      <alignment horizontal="center" vertical="center" wrapText="1"/>
    </xf>
    <xf numFmtId="49" fontId="31" fillId="3" borderId="1" xfId="0" applyNumberFormat="1" applyFont="1" applyFill="1" applyBorder="1" applyAlignment="1">
      <alignment horizontal="center" vertical="center" wrapText="1"/>
    </xf>
    <xf numFmtId="0" fontId="31" fillId="3" borderId="4" xfId="0" applyFont="1" applyFill="1" applyBorder="1" applyAlignment="1">
      <alignment horizontal="center" vertical="center" wrapText="1"/>
    </xf>
    <xf numFmtId="0" fontId="30" fillId="3" borderId="1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20" fillId="3" borderId="1" xfId="0" applyNumberFormat="1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9" fontId="1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/>
    <xf numFmtId="0" fontId="2" fillId="0" borderId="4" xfId="0" applyFont="1" applyBorder="1"/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2" fillId="0" borderId="18" xfId="0" applyFont="1" applyBorder="1"/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16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33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7" fillId="0" borderId="0" xfId="0" applyFont="1" applyAlignment="1">
      <alignment horizontal="left" wrapText="1"/>
    </xf>
    <xf numFmtId="0" fontId="36" fillId="0" borderId="0" xfId="0" applyFont="1" applyAlignment="1">
      <alignment horizontal="left" wrapText="1"/>
    </xf>
    <xf numFmtId="0" fontId="38" fillId="3" borderId="0" xfId="0" applyFont="1" applyFill="1" applyAlignment="1">
      <alignment vertical="center"/>
    </xf>
    <xf numFmtId="0" fontId="38" fillId="0" borderId="0" xfId="0" applyFont="1" applyAlignment="1">
      <alignment vertical="center"/>
    </xf>
    <xf numFmtId="0" fontId="39" fillId="3" borderId="0" xfId="0" applyFont="1" applyFill="1" applyAlignment="1">
      <alignment horizontal="center" vertical="center"/>
    </xf>
    <xf numFmtId="0" fontId="39" fillId="3" borderId="0" xfId="0" applyFont="1" applyFill="1" applyAlignment="1">
      <alignment vertical="center"/>
    </xf>
    <xf numFmtId="14" fontId="38" fillId="0" borderId="0" xfId="0" applyNumberFormat="1" applyFont="1" applyAlignment="1">
      <alignment horizontal="center" vertical="center"/>
    </xf>
    <xf numFmtId="0" fontId="39" fillId="0" borderId="0" xfId="0" applyFont="1" applyAlignment="1">
      <alignment vertical="center"/>
    </xf>
    <xf numFmtId="0" fontId="20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14" fontId="20" fillId="0" borderId="1" xfId="0" applyNumberFormat="1" applyFont="1" applyBorder="1" applyAlignment="1">
      <alignment horizontal="center" vertical="center" wrapText="1"/>
    </xf>
    <xf numFmtId="165" fontId="20" fillId="0" borderId="1" xfId="0" applyNumberFormat="1" applyFont="1" applyBorder="1" applyAlignment="1">
      <alignment horizontal="center" vertical="center" wrapText="1"/>
    </xf>
    <xf numFmtId="165" fontId="20" fillId="3" borderId="1" xfId="0" applyNumberFormat="1" applyFont="1" applyFill="1" applyBorder="1" applyAlignment="1">
      <alignment horizontal="right" vertical="center"/>
    </xf>
    <xf numFmtId="0" fontId="20" fillId="3" borderId="1" xfId="0" applyFont="1" applyFill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 wrapText="1"/>
    </xf>
    <xf numFmtId="14" fontId="20" fillId="0" borderId="1" xfId="0" applyNumberFormat="1" applyFont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wrapText="1"/>
    </xf>
    <xf numFmtId="0" fontId="29" fillId="3" borderId="1" xfId="0" applyFont="1" applyFill="1" applyBorder="1" applyAlignment="1">
      <alignment horizontal="center"/>
    </xf>
    <xf numFmtId="0" fontId="28" fillId="3" borderId="1" xfId="0" applyFont="1" applyFill="1" applyBorder="1" applyAlignment="1">
      <alignment horizontal="center"/>
    </xf>
    <xf numFmtId="0" fontId="29" fillId="3" borderId="1" xfId="0" applyFont="1" applyFill="1" applyBorder="1" applyAlignment="1">
      <alignment horizontal="center" vertical="center"/>
    </xf>
    <xf numFmtId="16" fontId="29" fillId="3" borderId="1" xfId="0" applyNumberFormat="1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left" vertical="center"/>
    </xf>
    <xf numFmtId="0" fontId="28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8" fillId="7" borderId="0" xfId="0" applyFont="1" applyFill="1" applyAlignment="1">
      <alignment vertical="center"/>
    </xf>
    <xf numFmtId="49" fontId="39" fillId="0" borderId="0" xfId="0" applyNumberFormat="1" applyFont="1" applyAlignment="1">
      <alignment vertical="center"/>
    </xf>
    <xf numFmtId="0" fontId="33" fillId="0" borderId="1" xfId="0" applyFont="1" applyBorder="1" applyAlignment="1">
      <alignment horizontal="center"/>
    </xf>
    <xf numFmtId="14" fontId="33" fillId="0" borderId="1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wrapText="1"/>
    </xf>
    <xf numFmtId="0" fontId="33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/>
    </xf>
    <xf numFmtId="0" fontId="36" fillId="0" borderId="1" xfId="0" applyFont="1" applyBorder="1"/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49" fontId="40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2" fillId="0" borderId="1" xfId="0" applyFont="1" applyBorder="1" applyAlignment="1">
      <alignment horizontal="center" vertical="center" wrapText="1"/>
    </xf>
    <xf numFmtId="17" fontId="13" fillId="0" borderId="1" xfId="0" applyNumberFormat="1" applyFont="1" applyBorder="1" applyAlignment="1">
      <alignment horizontal="center" vertical="center" wrapText="1"/>
    </xf>
    <xf numFmtId="10" fontId="13" fillId="3" borderId="1" xfId="2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3" fillId="2" borderId="1" xfId="0" applyFont="1" applyFill="1" applyBorder="1" applyAlignment="1">
      <alignment horizontal="center" vertical="center" wrapText="1"/>
    </xf>
    <xf numFmtId="10" fontId="19" fillId="3" borderId="1" xfId="2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49" fontId="43" fillId="2" borderId="1" xfId="0" applyNumberFormat="1" applyFont="1" applyFill="1" applyBorder="1" applyAlignment="1">
      <alignment horizontal="center" vertical="center" wrapText="1"/>
    </xf>
    <xf numFmtId="49" fontId="38" fillId="0" borderId="0" xfId="0" applyNumberFormat="1" applyFont="1" applyAlignment="1">
      <alignment vertical="center"/>
    </xf>
    <xf numFmtId="0" fontId="38" fillId="0" borderId="0" xfId="0" applyFont="1" applyAlignment="1">
      <alignment horizontal="center" vertical="center"/>
    </xf>
    <xf numFmtId="49" fontId="39" fillId="3" borderId="0" xfId="0" applyNumberFormat="1" applyFont="1" applyFill="1" applyAlignment="1">
      <alignment vertical="center"/>
    </xf>
    <xf numFmtId="2" fontId="39" fillId="0" borderId="0" xfId="0" applyNumberFormat="1" applyFont="1" applyAlignment="1">
      <alignment vertical="center"/>
    </xf>
    <xf numFmtId="0" fontId="44" fillId="2" borderId="1" xfId="0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center" vertical="center"/>
    </xf>
    <xf numFmtId="0" fontId="45" fillId="2" borderId="1" xfId="0" applyFont="1" applyFill="1" applyBorder="1" applyAlignment="1">
      <alignment horizontal="center" vertical="center" wrapText="1"/>
    </xf>
    <xf numFmtId="0" fontId="45" fillId="0" borderId="0" xfId="0" applyFont="1" applyAlignment="1">
      <alignment vertical="center"/>
    </xf>
    <xf numFmtId="0" fontId="45" fillId="0" borderId="0" xfId="0" applyFont="1" applyAlignment="1">
      <alignment horizontal="center" vertical="center" wrapText="1"/>
    </xf>
    <xf numFmtId="0" fontId="45" fillId="0" borderId="1" xfId="0" applyFont="1" applyBorder="1" applyAlignment="1">
      <alignment horizontal="center" vertical="center"/>
    </xf>
    <xf numFmtId="0" fontId="38" fillId="7" borderId="0" xfId="0" applyFont="1" applyFill="1" applyAlignment="1">
      <alignment horizontal="left" vertical="center"/>
    </xf>
    <xf numFmtId="2" fontId="38" fillId="0" borderId="0" xfId="0" applyNumberFormat="1" applyFont="1" applyAlignment="1">
      <alignment vertical="center"/>
    </xf>
    <xf numFmtId="0" fontId="45" fillId="2" borderId="0" xfId="0" applyFont="1" applyFill="1" applyAlignment="1">
      <alignment vertical="center"/>
    </xf>
    <xf numFmtId="0" fontId="45" fillId="3" borderId="0" xfId="0" applyFont="1" applyFill="1" applyAlignment="1">
      <alignment vertical="center"/>
    </xf>
    <xf numFmtId="0" fontId="46" fillId="3" borderId="0" xfId="0" applyFont="1" applyFill="1" applyAlignment="1">
      <alignment vertical="center"/>
    </xf>
    <xf numFmtId="0" fontId="45" fillId="3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wrapText="1"/>
    </xf>
    <xf numFmtId="0" fontId="1" fillId="12" borderId="1" xfId="0" applyFont="1" applyFill="1" applyBorder="1"/>
    <xf numFmtId="0" fontId="1" fillId="13" borderId="1" xfId="0" applyFont="1" applyFill="1" applyBorder="1" applyAlignment="1">
      <alignment horizontal="center" wrapText="1"/>
    </xf>
    <xf numFmtId="0" fontId="1" fillId="13" borderId="1" xfId="0" applyFont="1" applyFill="1" applyBorder="1"/>
    <xf numFmtId="0" fontId="1" fillId="14" borderId="1" xfId="0" applyFont="1" applyFill="1" applyBorder="1" applyAlignment="1">
      <alignment horizontal="center" wrapText="1"/>
    </xf>
    <xf numFmtId="0" fontId="1" fillId="14" borderId="1" xfId="0" applyFont="1" applyFill="1" applyBorder="1"/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39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 wrapText="1"/>
    </xf>
    <xf numFmtId="0" fontId="0" fillId="13" borderId="1" xfId="0" applyFill="1" applyBorder="1"/>
    <xf numFmtId="0" fontId="0" fillId="14" borderId="1" xfId="0" applyFill="1" applyBorder="1"/>
    <xf numFmtId="0" fontId="0" fillId="12" borderId="1" xfId="0" applyFill="1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2" fontId="0" fillId="0" borderId="0" xfId="0" applyNumberFormat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1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12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vertical="center"/>
    </xf>
    <xf numFmtId="0" fontId="47" fillId="2" borderId="1" xfId="0" applyFont="1" applyFill="1" applyBorder="1" applyAlignment="1">
      <alignment vertical="center"/>
    </xf>
    <xf numFmtId="0" fontId="47" fillId="2" borderId="1" xfId="0" applyFont="1" applyFill="1" applyBorder="1" applyAlignment="1">
      <alignment vertical="center" wrapText="1"/>
    </xf>
    <xf numFmtId="0" fontId="33" fillId="0" borderId="1" xfId="0" applyFont="1" applyBorder="1" applyAlignment="1">
      <alignment horizontal="left" vertical="center" wrapText="1"/>
    </xf>
    <xf numFmtId="0" fontId="33" fillId="7" borderId="1" xfId="0" applyFont="1" applyFill="1" applyBorder="1" applyAlignment="1">
      <alignment horizontal="left" vertical="center" wrapText="1"/>
    </xf>
    <xf numFmtId="0" fontId="33" fillId="7" borderId="1" xfId="0" applyFont="1" applyFill="1" applyBorder="1" applyAlignment="1">
      <alignment horizontal="left" vertical="center" wrapText="1" indent="1"/>
    </xf>
    <xf numFmtId="3" fontId="33" fillId="0" borderId="1" xfId="0" applyNumberFormat="1" applyFont="1" applyBorder="1" applyAlignment="1">
      <alignment horizontal="center" vertical="center" wrapText="1"/>
    </xf>
    <xf numFmtId="1" fontId="33" fillId="0" borderId="1" xfId="0" applyNumberFormat="1" applyFont="1" applyBorder="1" applyAlignment="1">
      <alignment horizontal="center" vertical="center" wrapText="1"/>
    </xf>
    <xf numFmtId="0" fontId="33" fillId="7" borderId="1" xfId="0" applyFont="1" applyFill="1" applyBorder="1" applyAlignment="1">
      <alignment horizontal="center" vertical="center" wrapText="1"/>
    </xf>
    <xf numFmtId="49" fontId="33" fillId="0" borderId="1" xfId="0" applyNumberFormat="1" applyFont="1" applyBorder="1" applyAlignment="1">
      <alignment horizontal="center" vertical="center" wrapText="1"/>
    </xf>
    <xf numFmtId="16" fontId="33" fillId="7" borderId="1" xfId="0" applyNumberFormat="1" applyFont="1" applyFill="1" applyBorder="1" applyAlignment="1">
      <alignment horizontal="left" vertical="center" wrapText="1" indent="1"/>
    </xf>
    <xf numFmtId="3" fontId="33" fillId="0" borderId="1" xfId="0" quotePrefix="1" applyNumberFormat="1" applyFont="1" applyBorder="1" applyAlignment="1">
      <alignment horizontal="center" vertical="center" wrapText="1"/>
    </xf>
    <xf numFmtId="49" fontId="44" fillId="2" borderId="1" xfId="0" applyNumberFormat="1" applyFont="1" applyFill="1" applyBorder="1" applyAlignment="1">
      <alignment horizontal="center" vertical="center" wrapText="1"/>
    </xf>
    <xf numFmtId="14" fontId="33" fillId="0" borderId="1" xfId="0" applyNumberFormat="1" applyFont="1" applyBorder="1" applyAlignment="1">
      <alignment horizontal="center" vertical="center"/>
    </xf>
    <xf numFmtId="3" fontId="33" fillId="0" borderId="1" xfId="0" quotePrefix="1" applyNumberFormat="1" applyFont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47" fillId="2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47" fillId="2" borderId="1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0" fontId="48" fillId="2" borderId="1" xfId="0" applyFont="1" applyFill="1" applyBorder="1" applyAlignment="1">
      <alignment horizontal="center" vertical="center" wrapText="1"/>
    </xf>
    <xf numFmtId="49" fontId="48" fillId="2" borderId="1" xfId="0" applyNumberFormat="1" applyFont="1" applyFill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1" fontId="49" fillId="6" borderId="1" xfId="0" applyNumberFormat="1" applyFont="1" applyFill="1" applyBorder="1" applyAlignment="1">
      <alignment horizontal="center" vertical="center" wrapText="1"/>
    </xf>
    <xf numFmtId="165" fontId="42" fillId="0" borderId="1" xfId="0" applyNumberFormat="1" applyFont="1" applyBorder="1" applyAlignment="1">
      <alignment horizontal="center" vertical="center" wrapText="1"/>
    </xf>
    <xf numFmtId="165" fontId="49" fillId="0" borderId="1" xfId="0" applyNumberFormat="1" applyFont="1" applyBorder="1" applyAlignment="1">
      <alignment horizontal="center" vertical="center" wrapText="1"/>
    </xf>
    <xf numFmtId="165" fontId="49" fillId="0" borderId="3" xfId="0" applyNumberFormat="1" applyFont="1" applyBorder="1" applyAlignment="1">
      <alignment horizontal="center" vertical="center" wrapText="1"/>
    </xf>
    <xf numFmtId="165" fontId="49" fillId="3" borderId="3" xfId="0" applyNumberFormat="1" applyFont="1" applyFill="1" applyBorder="1" applyAlignment="1">
      <alignment horizontal="center" vertical="center" wrapText="1"/>
    </xf>
    <xf numFmtId="165" fontId="49" fillId="3" borderId="1" xfId="0" applyNumberFormat="1" applyFont="1" applyFill="1" applyBorder="1" applyAlignment="1">
      <alignment horizontal="center" vertical="center" wrapText="1"/>
    </xf>
    <xf numFmtId="165" fontId="49" fillId="3" borderId="1" xfId="0" applyNumberFormat="1" applyFont="1" applyFill="1" applyBorder="1" applyAlignment="1">
      <alignment horizontal="right" vertical="center" wrapText="1"/>
    </xf>
    <xf numFmtId="165" fontId="49" fillId="3" borderId="1" xfId="0" applyNumberFormat="1" applyFont="1" applyFill="1" applyBorder="1" applyAlignment="1">
      <alignment horizontal="right" vertical="center"/>
    </xf>
    <xf numFmtId="165" fontId="49" fillId="0" borderId="1" xfId="0" applyNumberFormat="1" applyFont="1" applyBorder="1" applyAlignment="1">
      <alignment horizontal="right" vertical="center" wrapText="1"/>
    </xf>
    <xf numFmtId="0" fontId="49" fillId="3" borderId="1" xfId="0" applyFont="1" applyFill="1" applyBorder="1" applyAlignment="1">
      <alignment horizontal="right" vertical="center" wrapText="1"/>
    </xf>
    <xf numFmtId="166" fontId="49" fillId="3" borderId="1" xfId="2" applyNumberFormat="1" applyFont="1" applyFill="1" applyBorder="1" applyAlignment="1">
      <alignment horizontal="right" vertical="center" wrapText="1"/>
    </xf>
    <xf numFmtId="0" fontId="49" fillId="3" borderId="1" xfId="0" applyFont="1" applyFill="1" applyBorder="1" applyAlignment="1">
      <alignment horizontal="center" vertical="center" wrapText="1"/>
    </xf>
    <xf numFmtId="0" fontId="49" fillId="3" borderId="1" xfId="0" applyFont="1" applyFill="1" applyBorder="1" applyAlignment="1">
      <alignment horizontal="center" vertical="center"/>
    </xf>
    <xf numFmtId="0" fontId="50" fillId="3" borderId="1" xfId="0" applyFont="1" applyFill="1" applyBorder="1" applyAlignment="1">
      <alignment horizontal="center" vertical="center"/>
    </xf>
    <xf numFmtId="9" fontId="50" fillId="3" borderId="1" xfId="0" applyNumberFormat="1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 wrapText="1"/>
    </xf>
    <xf numFmtId="14" fontId="49" fillId="3" borderId="1" xfId="0" applyNumberFormat="1" applyFont="1" applyFill="1" applyBorder="1" applyAlignment="1">
      <alignment horizontal="center" vertical="center" wrapText="1"/>
    </xf>
    <xf numFmtId="165" fontId="51" fillId="3" borderId="1" xfId="0" applyNumberFormat="1" applyFont="1" applyFill="1" applyBorder="1" applyAlignment="1">
      <alignment horizontal="right" vertical="center" wrapText="1"/>
    </xf>
    <xf numFmtId="0" fontId="51" fillId="3" borderId="1" xfId="0" applyFont="1" applyFill="1" applyBorder="1" applyAlignment="1">
      <alignment horizontal="center" vertical="center"/>
    </xf>
    <xf numFmtId="49" fontId="49" fillId="0" borderId="1" xfId="0" applyNumberFormat="1" applyFont="1" applyBorder="1" applyAlignment="1">
      <alignment horizontal="center" vertical="center" wrapText="1"/>
    </xf>
    <xf numFmtId="2" fontId="49" fillId="3" borderId="1" xfId="0" applyNumberFormat="1" applyFont="1" applyFill="1" applyBorder="1" applyAlignment="1">
      <alignment horizontal="center" vertical="center" wrapText="1"/>
    </xf>
    <xf numFmtId="49" fontId="49" fillId="3" borderId="1" xfId="0" applyNumberFormat="1" applyFont="1" applyFill="1" applyBorder="1" applyAlignment="1">
      <alignment horizontal="center" vertical="center" wrapText="1"/>
    </xf>
    <xf numFmtId="49" fontId="49" fillId="2" borderId="1" xfId="0" applyNumberFormat="1" applyFont="1" applyFill="1" applyBorder="1" applyAlignment="1">
      <alignment horizontal="center" vertical="center" wrapText="1"/>
    </xf>
    <xf numFmtId="49" fontId="49" fillId="5" borderId="1" xfId="0" applyNumberFormat="1" applyFont="1" applyFill="1" applyBorder="1" applyAlignment="1">
      <alignment horizontal="center" vertical="center" wrapText="1"/>
    </xf>
    <xf numFmtId="49" fontId="49" fillId="9" borderId="1" xfId="0" applyNumberFormat="1" applyFont="1" applyFill="1" applyBorder="1" applyAlignment="1">
      <alignment horizontal="center" vertical="center" wrapText="1"/>
    </xf>
    <xf numFmtId="0" fontId="49" fillId="0" borderId="1" xfId="0" quotePrefix="1" applyFont="1" applyBorder="1" applyAlignment="1">
      <alignment horizontal="center" vertical="center" wrapText="1"/>
    </xf>
    <xf numFmtId="49" fontId="49" fillId="10" borderId="1" xfId="0" applyNumberFormat="1" applyFont="1" applyFill="1" applyBorder="1" applyAlignment="1">
      <alignment horizontal="center" vertical="center" wrapText="1"/>
    </xf>
    <xf numFmtId="165" fontId="51" fillId="3" borderId="4" xfId="0" applyNumberFormat="1" applyFont="1" applyFill="1" applyBorder="1" applyAlignment="1">
      <alignment horizontal="right" vertical="center" wrapText="1"/>
    </xf>
    <xf numFmtId="0" fontId="52" fillId="3" borderId="1" xfId="0" applyFont="1" applyFill="1" applyBorder="1" applyAlignment="1">
      <alignment vertical="center"/>
    </xf>
    <xf numFmtId="167" fontId="49" fillId="0" borderId="1" xfId="0" applyNumberFormat="1" applyFont="1" applyBorder="1" applyAlignment="1">
      <alignment vertical="center" wrapText="1"/>
    </xf>
    <xf numFmtId="167" fontId="49" fillId="0" borderId="1" xfId="0" applyNumberFormat="1" applyFont="1" applyBorder="1" applyAlignment="1">
      <alignment vertical="center"/>
    </xf>
    <xf numFmtId="9" fontId="49" fillId="3" borderId="1" xfId="0" applyNumberFormat="1" applyFont="1" applyFill="1" applyBorder="1" applyAlignment="1">
      <alignment horizontal="center" vertical="center"/>
    </xf>
    <xf numFmtId="0" fontId="50" fillId="3" borderId="1" xfId="0" applyFont="1" applyFill="1" applyBorder="1" applyAlignment="1">
      <alignment vertical="center"/>
    </xf>
    <xf numFmtId="49" fontId="53" fillId="3" borderId="1" xfId="0" applyNumberFormat="1" applyFont="1" applyFill="1" applyBorder="1" applyAlignment="1">
      <alignment horizontal="center" vertical="center" wrapText="1"/>
    </xf>
    <xf numFmtId="0" fontId="52" fillId="0" borderId="1" xfId="0" applyFont="1" applyBorder="1" applyAlignment="1">
      <alignment vertical="center"/>
    </xf>
    <xf numFmtId="0" fontId="52" fillId="2" borderId="1" xfId="0" applyFont="1" applyFill="1" applyBorder="1" applyAlignment="1">
      <alignment vertical="center"/>
    </xf>
    <xf numFmtId="0" fontId="52" fillId="6" borderId="1" xfId="0" applyFont="1" applyFill="1" applyBorder="1" applyAlignment="1">
      <alignment vertical="center"/>
    </xf>
    <xf numFmtId="0" fontId="49" fillId="0" borderId="1" xfId="0" applyFont="1" applyBorder="1" applyAlignment="1">
      <alignment horizontal="center" vertical="center"/>
    </xf>
    <xf numFmtId="0" fontId="49" fillId="3" borderId="1" xfId="0" applyFont="1" applyFill="1" applyBorder="1" applyAlignment="1">
      <alignment horizontal="right" vertical="center"/>
    </xf>
    <xf numFmtId="0" fontId="52" fillId="0" borderId="1" xfId="0" applyFont="1" applyBorder="1" applyAlignment="1">
      <alignment horizontal="center" vertical="center"/>
    </xf>
    <xf numFmtId="0" fontId="52" fillId="3" borderId="1" xfId="0" applyFont="1" applyFill="1" applyBorder="1" applyAlignment="1">
      <alignment horizontal="center" vertical="center"/>
    </xf>
    <xf numFmtId="0" fontId="49" fillId="0" borderId="7" xfId="0" applyFont="1" applyBorder="1" applyAlignment="1">
      <alignment horizontal="center" vertical="center" wrapText="1"/>
    </xf>
    <xf numFmtId="1" fontId="49" fillId="6" borderId="7" xfId="0" applyNumberFormat="1" applyFont="1" applyFill="1" applyBorder="1" applyAlignment="1">
      <alignment horizontal="center" vertical="center" wrapText="1"/>
    </xf>
    <xf numFmtId="165" fontId="49" fillId="0" borderId="7" xfId="0" applyNumberFormat="1" applyFont="1" applyBorder="1" applyAlignment="1">
      <alignment horizontal="center" vertical="center" wrapText="1"/>
    </xf>
    <xf numFmtId="165" fontId="49" fillId="3" borderId="7" xfId="0" applyNumberFormat="1" applyFont="1" applyFill="1" applyBorder="1" applyAlignment="1">
      <alignment horizontal="center" vertical="center" wrapText="1"/>
    </xf>
    <xf numFmtId="165" fontId="49" fillId="3" borderId="7" xfId="0" applyNumberFormat="1" applyFont="1" applyFill="1" applyBorder="1" applyAlignment="1">
      <alignment horizontal="right" vertical="center" wrapText="1"/>
    </xf>
    <xf numFmtId="165" fontId="49" fillId="3" borderId="7" xfId="0" applyNumberFormat="1" applyFont="1" applyFill="1" applyBorder="1" applyAlignment="1">
      <alignment horizontal="right" vertical="center"/>
    </xf>
    <xf numFmtId="165" fontId="49" fillId="0" borderId="7" xfId="0" applyNumberFormat="1" applyFont="1" applyBorder="1" applyAlignment="1">
      <alignment horizontal="right" vertical="center" wrapText="1"/>
    </xf>
    <xf numFmtId="166" fontId="49" fillId="3" borderId="7" xfId="2" applyNumberFormat="1" applyFont="1" applyFill="1" applyBorder="1" applyAlignment="1">
      <alignment horizontal="right" vertical="center" wrapText="1"/>
    </xf>
    <xf numFmtId="0" fontId="49" fillId="3" borderId="7" xfId="0" applyFont="1" applyFill="1" applyBorder="1" applyAlignment="1">
      <alignment horizontal="center" vertical="center" wrapText="1"/>
    </xf>
    <xf numFmtId="0" fontId="49" fillId="3" borderId="7" xfId="0" applyFont="1" applyFill="1" applyBorder="1" applyAlignment="1">
      <alignment horizontal="center" vertical="center"/>
    </xf>
    <xf numFmtId="0" fontId="50" fillId="3" borderId="7" xfId="0" applyFont="1" applyFill="1" applyBorder="1" applyAlignment="1">
      <alignment horizontal="center" vertical="center"/>
    </xf>
    <xf numFmtId="9" fontId="50" fillId="3" borderId="7" xfId="0" applyNumberFormat="1" applyFont="1" applyFill="1" applyBorder="1" applyAlignment="1">
      <alignment horizontal="center" vertical="center"/>
    </xf>
    <xf numFmtId="49" fontId="49" fillId="3" borderId="7" xfId="0" applyNumberFormat="1" applyFont="1" applyFill="1" applyBorder="1" applyAlignment="1">
      <alignment horizontal="center" vertical="center" wrapText="1"/>
    </xf>
    <xf numFmtId="0" fontId="52" fillId="0" borderId="7" xfId="0" applyFont="1" applyBorder="1" applyAlignment="1">
      <alignment vertical="center"/>
    </xf>
    <xf numFmtId="0" fontId="52" fillId="3" borderId="7" xfId="0" applyFont="1" applyFill="1" applyBorder="1" applyAlignment="1">
      <alignment vertical="center"/>
    </xf>
    <xf numFmtId="165" fontId="42" fillId="0" borderId="7" xfId="0" applyNumberFormat="1" applyFont="1" applyBorder="1" applyAlignment="1">
      <alignment horizontal="center" vertical="center" wrapText="1"/>
    </xf>
    <xf numFmtId="1" fontId="49" fillId="0" borderId="7" xfId="0" applyNumberFormat="1" applyFont="1" applyBorder="1" applyAlignment="1">
      <alignment horizontal="center" vertical="center" wrapText="1"/>
    </xf>
    <xf numFmtId="0" fontId="50" fillId="3" borderId="0" xfId="0" applyFont="1" applyFill="1" applyAlignment="1">
      <alignment vertical="center"/>
    </xf>
    <xf numFmtId="0" fontId="54" fillId="3" borderId="1" xfId="0" applyFont="1" applyFill="1" applyBorder="1" applyAlignment="1">
      <alignment horizontal="center" vertical="center" wrapText="1"/>
    </xf>
    <xf numFmtId="0" fontId="55" fillId="3" borderId="1" xfId="0" applyFont="1" applyFill="1" applyBorder="1" applyAlignment="1">
      <alignment horizontal="center" vertical="center" wrapText="1"/>
    </xf>
    <xf numFmtId="0" fontId="56" fillId="3" borderId="0" xfId="0" applyFont="1" applyFill="1" applyAlignment="1">
      <alignment vertical="center"/>
    </xf>
    <xf numFmtId="49" fontId="55" fillId="3" borderId="1" xfId="0" applyNumberFormat="1" applyFont="1" applyFill="1" applyBorder="1" applyAlignment="1">
      <alignment horizontal="center" vertical="center" wrapText="1"/>
    </xf>
    <xf numFmtId="0" fontId="56" fillId="3" borderId="0" xfId="0" applyFont="1" applyFill="1" applyAlignment="1">
      <alignment horizontal="center" vertical="center"/>
    </xf>
    <xf numFmtId="0" fontId="54" fillId="3" borderId="0" xfId="0" applyFont="1" applyFill="1" applyAlignment="1">
      <alignment vertical="center"/>
    </xf>
    <xf numFmtId="0" fontId="57" fillId="3" borderId="0" xfId="0" applyFont="1" applyFill="1" applyAlignment="1">
      <alignment vertical="center"/>
    </xf>
    <xf numFmtId="0" fontId="58" fillId="3" borderId="0" xfId="0" applyFont="1" applyFill="1" applyAlignment="1">
      <alignment vertical="center"/>
    </xf>
    <xf numFmtId="0" fontId="59" fillId="3" borderId="1" xfId="0" applyFont="1" applyFill="1" applyBorder="1" applyAlignment="1">
      <alignment horizontal="center" vertical="center" wrapText="1"/>
    </xf>
    <xf numFmtId="49" fontId="59" fillId="3" borderId="1" xfId="0" applyNumberFormat="1" applyFont="1" applyFill="1" applyBorder="1" applyAlignment="1">
      <alignment horizontal="center" vertical="center" wrapText="1"/>
    </xf>
    <xf numFmtId="0" fontId="60" fillId="3" borderId="0" xfId="0" applyFont="1" applyFill="1" applyAlignment="1">
      <alignment vertical="center"/>
    </xf>
    <xf numFmtId="0" fontId="61" fillId="0" borderId="1" xfId="0" applyFont="1" applyBorder="1" applyAlignment="1">
      <alignment horizontal="left" vertical="center" wrapText="1"/>
    </xf>
    <xf numFmtId="0" fontId="61" fillId="0" borderId="1" xfId="0" applyFont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1" fontId="41" fillId="3" borderId="1" xfId="0" applyNumberFormat="1" applyFont="1" applyFill="1" applyBorder="1" applyAlignment="1">
      <alignment horizontal="center" vertical="center" wrapText="1"/>
    </xf>
    <xf numFmtId="1" fontId="24" fillId="0" borderId="1" xfId="0" applyNumberFormat="1" applyFont="1" applyBorder="1" applyAlignment="1">
      <alignment horizontal="center" vertical="center"/>
    </xf>
    <xf numFmtId="1" fontId="24" fillId="3" borderId="1" xfId="0" applyNumberFormat="1" applyFont="1" applyFill="1" applyBorder="1" applyAlignment="1">
      <alignment horizontal="center" vertical="center"/>
    </xf>
    <xf numFmtId="0" fontId="45" fillId="3" borderId="1" xfId="0" applyFont="1" applyFill="1" applyBorder="1" applyAlignment="1">
      <alignment vertical="center"/>
    </xf>
    <xf numFmtId="0" fontId="42" fillId="0" borderId="1" xfId="0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 wrapText="1"/>
    </xf>
    <xf numFmtId="0" fontId="63" fillId="0" borderId="1" xfId="0" applyFont="1" applyBorder="1" applyAlignment="1">
      <alignment horizontal="center" vertical="center" wrapText="1"/>
    </xf>
    <xf numFmtId="0" fontId="64" fillId="0" borderId="1" xfId="0" applyFont="1" applyBorder="1" applyAlignment="1">
      <alignment horizontal="center" vertical="center" wrapText="1"/>
    </xf>
    <xf numFmtId="14" fontId="62" fillId="0" borderId="1" xfId="0" applyNumberFormat="1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wrapText="1"/>
    </xf>
    <xf numFmtId="0" fontId="62" fillId="0" borderId="1" xfId="0" applyFont="1" applyBorder="1" applyAlignment="1">
      <alignment horizontal="center" vertical="center"/>
    </xf>
    <xf numFmtId="0" fontId="62" fillId="0" borderId="1" xfId="0" applyFont="1" applyBorder="1" applyAlignment="1">
      <alignment horizontal="center"/>
    </xf>
    <xf numFmtId="16" fontId="62" fillId="0" borderId="1" xfId="0" applyNumberFormat="1" applyFont="1" applyBorder="1" applyAlignment="1">
      <alignment horizontal="center"/>
    </xf>
    <xf numFmtId="0" fontId="63" fillId="3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36" fillId="0" borderId="0" xfId="0" applyFont="1" applyAlignment="1">
      <alignment vertical="center"/>
    </xf>
    <xf numFmtId="0" fontId="62" fillId="3" borderId="0" xfId="0" applyFont="1" applyFill="1" applyAlignment="1">
      <alignment vertical="center"/>
    </xf>
    <xf numFmtId="0" fontId="62" fillId="0" borderId="0" xfId="0" applyFont="1" applyAlignment="1">
      <alignment vertical="center"/>
    </xf>
    <xf numFmtId="0" fontId="62" fillId="0" borderId="0" xfId="0" applyFont="1" applyAlignment="1">
      <alignment horizontal="left" vertical="center"/>
    </xf>
    <xf numFmtId="0" fontId="36" fillId="3" borderId="0" xfId="0" applyFont="1" applyFill="1" applyAlignment="1">
      <alignment vertical="center"/>
    </xf>
    <xf numFmtId="0" fontId="66" fillId="3" borderId="0" xfId="0" applyFont="1" applyFill="1" applyAlignment="1">
      <alignment vertical="center"/>
    </xf>
    <xf numFmtId="0" fontId="66" fillId="3" borderId="0" xfId="0" applyFont="1" applyFill="1" applyAlignment="1">
      <alignment horizontal="center" vertical="center"/>
    </xf>
    <xf numFmtId="0" fontId="66" fillId="0" borderId="0" xfId="0" applyFont="1"/>
    <xf numFmtId="0" fontId="66" fillId="2" borderId="0" xfId="0" applyFont="1" applyFill="1" applyAlignment="1">
      <alignment vertical="center"/>
    </xf>
    <xf numFmtId="0" fontId="68" fillId="2" borderId="1" xfId="0" applyFont="1" applyFill="1" applyBorder="1" applyAlignment="1">
      <alignment horizontal="center" vertical="center" wrapText="1"/>
    </xf>
    <xf numFmtId="0" fontId="62" fillId="0" borderId="1" xfId="0" applyFont="1" applyBorder="1" applyAlignment="1">
      <alignment horizontal="left" vertical="center" wrapText="1"/>
    </xf>
    <xf numFmtId="165" fontId="62" fillId="8" borderId="3" xfId="0" applyNumberFormat="1" applyFont="1" applyFill="1" applyBorder="1" applyAlignment="1">
      <alignment horizontal="center" vertical="center" wrapText="1"/>
    </xf>
    <xf numFmtId="0" fontId="63" fillId="3" borderId="1" xfId="0" applyFont="1" applyFill="1" applyBorder="1" applyAlignment="1">
      <alignment horizontal="center" vertical="center"/>
    </xf>
    <xf numFmtId="0" fontId="66" fillId="3" borderId="1" xfId="0" applyFont="1" applyFill="1" applyBorder="1" applyAlignment="1">
      <alignment horizontal="center" vertical="center"/>
    </xf>
    <xf numFmtId="165" fontId="63" fillId="3" borderId="1" xfId="0" applyNumberFormat="1" applyFont="1" applyFill="1" applyBorder="1" applyAlignment="1">
      <alignment horizontal="right" vertical="center" wrapText="1"/>
    </xf>
    <xf numFmtId="165" fontId="63" fillId="3" borderId="4" xfId="0" applyNumberFormat="1" applyFont="1" applyFill="1" applyBorder="1" applyAlignment="1">
      <alignment horizontal="right" vertical="center" wrapText="1"/>
    </xf>
    <xf numFmtId="0" fontId="67" fillId="3" borderId="1" xfId="0" applyFont="1" applyFill="1" applyBorder="1" applyAlignment="1">
      <alignment vertical="center"/>
    </xf>
    <xf numFmtId="0" fontId="67" fillId="2" borderId="1" xfId="0" applyFont="1" applyFill="1" applyBorder="1" applyAlignment="1">
      <alignment vertical="center"/>
    </xf>
    <xf numFmtId="0" fontId="67" fillId="6" borderId="1" xfId="0" applyFont="1" applyFill="1" applyBorder="1" applyAlignment="1">
      <alignment vertical="center"/>
    </xf>
    <xf numFmtId="49" fontId="68" fillId="2" borderId="1" xfId="0" applyNumberFormat="1" applyFont="1" applyFill="1" applyBorder="1" applyAlignment="1">
      <alignment horizontal="center" vertical="center" wrapText="1"/>
    </xf>
    <xf numFmtId="0" fontId="67" fillId="3" borderId="1" xfId="0" applyFont="1" applyFill="1" applyBorder="1" applyAlignment="1">
      <alignment horizontal="center" vertical="center"/>
    </xf>
    <xf numFmtId="165" fontId="62" fillId="8" borderId="1" xfId="0" applyNumberFormat="1" applyFont="1" applyFill="1" applyBorder="1" applyAlignment="1">
      <alignment horizontal="center" vertical="center" wrapText="1"/>
    </xf>
    <xf numFmtId="0" fontId="62" fillId="0" borderId="7" xfId="0" applyFont="1" applyBorder="1" applyAlignment="1">
      <alignment horizontal="center" vertical="center" wrapText="1"/>
    </xf>
    <xf numFmtId="165" fontId="62" fillId="8" borderId="7" xfId="0" applyNumberFormat="1" applyFont="1" applyFill="1" applyBorder="1" applyAlignment="1">
      <alignment horizontal="center" vertical="center" wrapText="1"/>
    </xf>
    <xf numFmtId="0" fontId="67" fillId="3" borderId="7" xfId="0" applyFont="1" applyFill="1" applyBorder="1" applyAlignment="1">
      <alignment vertical="center"/>
    </xf>
    <xf numFmtId="2" fontId="36" fillId="0" borderId="7" xfId="0" applyNumberFormat="1" applyFont="1" applyBorder="1" applyAlignment="1">
      <alignment horizontal="center" vertical="center"/>
    </xf>
    <xf numFmtId="49" fontId="36" fillId="3" borderId="0" xfId="0" applyNumberFormat="1" applyFont="1" applyFill="1" applyAlignment="1">
      <alignment vertical="center"/>
    </xf>
    <xf numFmtId="0" fontId="62" fillId="7" borderId="0" xfId="0" applyFont="1" applyFill="1" applyAlignment="1">
      <alignment horizontal="left" vertical="center"/>
    </xf>
    <xf numFmtId="0" fontId="62" fillId="7" borderId="0" xfId="0" applyFont="1" applyFill="1" applyAlignment="1">
      <alignment vertical="center"/>
    </xf>
    <xf numFmtId="14" fontId="62" fillId="0" borderId="0" xfId="0" applyNumberFormat="1" applyFont="1" applyAlignment="1">
      <alignment horizontal="center" vertical="center"/>
    </xf>
    <xf numFmtId="165" fontId="62" fillId="4" borderId="3" xfId="0" applyNumberFormat="1" applyFont="1" applyFill="1" applyBorder="1" applyAlignment="1">
      <alignment horizontal="center" vertical="center" wrapText="1"/>
    </xf>
    <xf numFmtId="165" fontId="62" fillId="4" borderId="1" xfId="0" applyNumberFormat="1" applyFont="1" applyFill="1" applyBorder="1" applyAlignment="1">
      <alignment horizontal="center" vertical="center" wrapText="1"/>
    </xf>
    <xf numFmtId="165" fontId="62" fillId="4" borderId="7" xfId="0" applyNumberFormat="1" applyFont="1" applyFill="1" applyBorder="1" applyAlignment="1">
      <alignment horizontal="center" vertical="center" wrapText="1"/>
    </xf>
    <xf numFmtId="2" fontId="62" fillId="4" borderId="1" xfId="0" applyNumberFormat="1" applyFont="1" applyFill="1" applyBorder="1" applyAlignment="1">
      <alignment horizontal="center" vertical="center" wrapText="1"/>
    </xf>
    <xf numFmtId="0" fontId="62" fillId="0" borderId="1" xfId="0" applyFont="1" applyBorder="1" applyAlignment="1">
      <alignment vertical="center"/>
    </xf>
    <xf numFmtId="0" fontId="36" fillId="3" borderId="1" xfId="0" applyFont="1" applyFill="1" applyBorder="1" applyAlignment="1">
      <alignment vertical="center"/>
    </xf>
    <xf numFmtId="0" fontId="63" fillId="3" borderId="7" xfId="0" applyFont="1" applyFill="1" applyBorder="1" applyAlignment="1">
      <alignment horizontal="center" vertical="center"/>
    </xf>
    <xf numFmtId="0" fontId="62" fillId="0" borderId="1" xfId="0" applyFont="1" applyBorder="1" applyAlignment="1">
      <alignment horizontal="left" vertical="center"/>
    </xf>
    <xf numFmtId="0" fontId="62" fillId="0" borderId="4" xfId="0" applyFont="1" applyBorder="1" applyAlignment="1">
      <alignment horizontal="center" vertical="center" wrapText="1"/>
    </xf>
    <xf numFmtId="0" fontId="68" fillId="2" borderId="7" xfId="0" applyFont="1" applyFill="1" applyBorder="1" applyAlignment="1">
      <alignment horizontal="center" vertical="center" wrapText="1"/>
    </xf>
    <xf numFmtId="0" fontId="62" fillId="0" borderId="7" xfId="0" applyFont="1" applyBorder="1" applyAlignment="1">
      <alignment horizontal="left" vertical="center" wrapText="1"/>
    </xf>
    <xf numFmtId="0" fontId="62" fillId="0" borderId="17" xfId="0" applyFont="1" applyBorder="1" applyAlignment="1">
      <alignment horizontal="center" vertical="center" wrapText="1"/>
    </xf>
    <xf numFmtId="0" fontId="68" fillId="2" borderId="15" xfId="0" applyFont="1" applyFill="1" applyBorder="1" applyAlignment="1">
      <alignment horizontal="center" vertical="center" wrapText="1"/>
    </xf>
    <xf numFmtId="0" fontId="62" fillId="0" borderId="15" xfId="0" applyFont="1" applyBorder="1" applyAlignment="1">
      <alignment horizontal="left" vertical="center" wrapText="1"/>
    </xf>
    <xf numFmtId="0" fontId="62" fillId="0" borderId="10" xfId="0" applyFont="1" applyBorder="1" applyAlignment="1">
      <alignment horizontal="center" vertical="center" wrapText="1"/>
    </xf>
    <xf numFmtId="0" fontId="62" fillId="0" borderId="12" xfId="0" applyFont="1" applyBorder="1" applyAlignment="1">
      <alignment horizontal="center" vertical="center" wrapText="1"/>
    </xf>
    <xf numFmtId="0" fontId="68" fillId="2" borderId="13" xfId="0" applyFont="1" applyFill="1" applyBorder="1" applyAlignment="1">
      <alignment horizontal="center" vertical="center" wrapText="1"/>
    </xf>
    <xf numFmtId="0" fontId="62" fillId="0" borderId="13" xfId="0" applyFont="1" applyBorder="1" applyAlignment="1">
      <alignment horizontal="left" vertical="center" wrapText="1"/>
    </xf>
    <xf numFmtId="0" fontId="68" fillId="2" borderId="4" xfId="0" applyFont="1" applyFill="1" applyBorder="1" applyAlignment="1">
      <alignment horizontal="center" vertical="center" wrapText="1"/>
    </xf>
    <xf numFmtId="0" fontId="62" fillId="0" borderId="4" xfId="0" applyFont="1" applyBorder="1" applyAlignment="1">
      <alignment horizontal="left" vertical="center" wrapText="1"/>
    </xf>
    <xf numFmtId="1" fontId="62" fillId="0" borderId="15" xfId="0" applyNumberFormat="1" applyFont="1" applyBorder="1" applyAlignment="1">
      <alignment horizontal="center" vertical="center" wrapText="1"/>
    </xf>
    <xf numFmtId="1" fontId="62" fillId="0" borderId="1" xfId="0" applyNumberFormat="1" applyFont="1" applyBorder="1" applyAlignment="1">
      <alignment horizontal="center" vertical="center" wrapText="1"/>
    </xf>
    <xf numFmtId="1" fontId="62" fillId="0" borderId="13" xfId="0" applyNumberFormat="1" applyFont="1" applyBorder="1" applyAlignment="1">
      <alignment horizontal="center" vertical="center" wrapText="1"/>
    </xf>
    <xf numFmtId="1" fontId="62" fillId="0" borderId="7" xfId="0" applyNumberFormat="1" applyFont="1" applyBorder="1" applyAlignment="1">
      <alignment horizontal="center" vertical="center" wrapText="1"/>
    </xf>
    <xf numFmtId="1" fontId="62" fillId="0" borderId="4" xfId="0" applyNumberFormat="1" applyFont="1" applyBorder="1" applyAlignment="1">
      <alignment horizontal="center" vertical="center" wrapText="1"/>
    </xf>
    <xf numFmtId="1" fontId="36" fillId="0" borderId="7" xfId="0" applyNumberFormat="1" applyFont="1" applyBorder="1" applyAlignment="1">
      <alignment horizontal="center" vertical="center"/>
    </xf>
    <xf numFmtId="49" fontId="68" fillId="2" borderId="13" xfId="0" applyNumberFormat="1" applyFont="1" applyFill="1" applyBorder="1" applyAlignment="1">
      <alignment horizontal="center" vertical="center" wrapText="1"/>
    </xf>
    <xf numFmtId="1" fontId="62" fillId="0" borderId="29" xfId="0" applyNumberFormat="1" applyFont="1" applyBorder="1" applyAlignment="1">
      <alignment horizontal="center" vertical="center" wrapText="1"/>
    </xf>
    <xf numFmtId="1" fontId="62" fillId="0" borderId="5" xfId="0" applyNumberFormat="1" applyFont="1" applyBorder="1" applyAlignment="1">
      <alignment horizontal="center" vertical="center" wrapText="1"/>
    </xf>
    <xf numFmtId="0" fontId="36" fillId="0" borderId="7" xfId="0" applyFont="1" applyBorder="1" applyAlignment="1">
      <alignment horizontal="left" vertical="center"/>
    </xf>
    <xf numFmtId="0" fontId="36" fillId="0" borderId="7" xfId="0" applyFont="1" applyBorder="1" applyAlignment="1">
      <alignment horizontal="center" vertical="center"/>
    </xf>
    <xf numFmtId="0" fontId="69" fillId="0" borderId="1" xfId="0" applyFont="1" applyBorder="1" applyAlignment="1">
      <alignment horizontal="center" vertical="center" wrapText="1"/>
    </xf>
    <xf numFmtId="0" fontId="69" fillId="0" borderId="1" xfId="0" applyFont="1" applyBorder="1" applyAlignment="1">
      <alignment horizontal="left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69" fillId="7" borderId="1" xfId="0" applyFont="1" applyFill="1" applyBorder="1" applyAlignment="1">
      <alignment horizontal="left" vertical="center" wrapText="1"/>
    </xf>
    <xf numFmtId="0" fontId="69" fillId="7" borderId="1" xfId="0" applyFont="1" applyFill="1" applyBorder="1" applyAlignment="1">
      <alignment vertical="center" wrapText="1"/>
    </xf>
    <xf numFmtId="14" fontId="69" fillId="0" borderId="1" xfId="0" applyNumberFormat="1" applyFont="1" applyBorder="1" applyAlignment="1">
      <alignment horizontal="center" vertical="center" wrapText="1"/>
    </xf>
    <xf numFmtId="2" fontId="69" fillId="12" borderId="1" xfId="0" applyNumberFormat="1" applyFont="1" applyFill="1" applyBorder="1" applyAlignment="1">
      <alignment horizontal="center" vertical="center" wrapText="1"/>
    </xf>
    <xf numFmtId="49" fontId="69" fillId="0" borderId="1" xfId="0" applyNumberFormat="1" applyFont="1" applyBorder="1" applyAlignment="1">
      <alignment horizontal="center" vertical="center" wrapText="1"/>
    </xf>
    <xf numFmtId="2" fontId="69" fillId="12" borderId="1" xfId="0" quotePrefix="1" applyNumberFormat="1" applyFont="1" applyFill="1" applyBorder="1" applyAlignment="1">
      <alignment horizontal="center" vertical="center" wrapText="1"/>
    </xf>
    <xf numFmtId="49" fontId="31" fillId="2" borderId="1" xfId="0" applyNumberFormat="1" applyFont="1" applyFill="1" applyBorder="1" applyAlignment="1">
      <alignment horizontal="center" vertical="center" wrapText="1"/>
    </xf>
    <xf numFmtId="14" fontId="69" fillId="0" borderId="1" xfId="0" applyNumberFormat="1" applyFont="1" applyBorder="1" applyAlignment="1">
      <alignment horizontal="center" vertical="center"/>
    </xf>
    <xf numFmtId="0" fontId="69" fillId="0" borderId="7" xfId="0" applyFont="1" applyBorder="1" applyAlignment="1">
      <alignment horizontal="center" vertical="center" wrapText="1"/>
    </xf>
    <xf numFmtId="2" fontId="69" fillId="12" borderId="7" xfId="0" applyNumberFormat="1" applyFont="1" applyFill="1" applyBorder="1" applyAlignment="1">
      <alignment horizontal="center" vertical="center" wrapText="1"/>
    </xf>
    <xf numFmtId="0" fontId="65" fillId="0" borderId="1" xfId="0" applyFont="1" applyBorder="1" applyAlignment="1">
      <alignment horizontal="left" vertical="center"/>
    </xf>
    <xf numFmtId="0" fontId="65" fillId="7" borderId="1" xfId="0" applyFont="1" applyFill="1" applyBorder="1" applyAlignment="1">
      <alignment horizontal="left" vertical="center"/>
    </xf>
    <xf numFmtId="0" fontId="65" fillId="7" borderId="1" xfId="0" applyFont="1" applyFill="1" applyBorder="1" applyAlignment="1">
      <alignment vertical="center"/>
    </xf>
    <xf numFmtId="14" fontId="65" fillId="0" borderId="1" xfId="0" applyNumberFormat="1" applyFont="1" applyBorder="1" applyAlignment="1">
      <alignment horizontal="center" vertical="center"/>
    </xf>
    <xf numFmtId="2" fontId="70" fillId="0" borderId="7" xfId="0" applyNumberFormat="1" applyFont="1" applyBorder="1" applyAlignment="1">
      <alignment horizontal="center" vertical="center"/>
    </xf>
    <xf numFmtId="0" fontId="0" fillId="3" borderId="0" xfId="0" applyFont="1" applyFill="1"/>
    <xf numFmtId="14" fontId="0" fillId="3" borderId="0" xfId="0" applyNumberFormat="1" applyFont="1" applyFill="1"/>
    <xf numFmtId="0" fontId="71" fillId="3" borderId="1" xfId="0" applyFont="1" applyFill="1" applyBorder="1" applyAlignment="1">
      <alignment horizontal="center" vertical="center"/>
    </xf>
    <xf numFmtId="0" fontId="71" fillId="3" borderId="1" xfId="0" applyFont="1" applyFill="1" applyBorder="1" applyAlignment="1">
      <alignment horizontal="center" vertical="center" wrapText="1"/>
    </xf>
    <xf numFmtId="16" fontId="20" fillId="3" borderId="1" xfId="0" applyNumberFormat="1" applyFont="1" applyFill="1" applyBorder="1" applyAlignment="1">
      <alignment horizontal="center" vertical="center" wrapText="1"/>
    </xf>
    <xf numFmtId="14" fontId="20" fillId="3" borderId="1" xfId="0" applyNumberFormat="1" applyFont="1" applyFill="1" applyBorder="1" applyAlignment="1">
      <alignment horizontal="center" vertical="center" wrapText="1"/>
    </xf>
    <xf numFmtId="0" fontId="65" fillId="0" borderId="1" xfId="0" applyFont="1" applyBorder="1" applyAlignment="1">
      <alignment horizontal="center" vertical="center"/>
    </xf>
    <xf numFmtId="0" fontId="23" fillId="3" borderId="6" xfId="0" applyFont="1" applyFill="1" applyBorder="1" applyAlignment="1">
      <alignment horizontal="center" vertical="center"/>
    </xf>
    <xf numFmtId="0" fontId="23" fillId="3" borderId="18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14" fontId="26" fillId="3" borderId="1" xfId="0" applyNumberFormat="1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 wrapText="1"/>
    </xf>
    <xf numFmtId="14" fontId="25" fillId="3" borderId="1" xfId="0" applyNumberFormat="1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/>
    </xf>
    <xf numFmtId="0" fontId="27" fillId="3" borderId="18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25" fillId="3" borderId="7" xfId="0" applyFont="1" applyFill="1" applyBorder="1" applyAlignment="1">
      <alignment horizontal="center" vertical="center"/>
    </xf>
    <xf numFmtId="0" fontId="62" fillId="2" borderId="1" xfId="0" applyFont="1" applyFill="1" applyBorder="1" applyAlignment="1">
      <alignment horizontal="center" vertical="center" wrapText="1"/>
    </xf>
    <xf numFmtId="0" fontId="65" fillId="0" borderId="1" xfId="0" applyFont="1" applyBorder="1" applyAlignment="1">
      <alignment horizontal="center" vertical="center"/>
    </xf>
    <xf numFmtId="0" fontId="67" fillId="2" borderId="1" xfId="0" applyFont="1" applyFill="1" applyBorder="1" applyAlignment="1">
      <alignment horizontal="center" vertical="center" wrapText="1"/>
    </xf>
    <xf numFmtId="0" fontId="71" fillId="3" borderId="1" xfId="0" applyFont="1" applyFill="1" applyBorder="1" applyAlignment="1">
      <alignment horizontal="center" vertical="center" wrapText="1"/>
    </xf>
    <xf numFmtId="0" fontId="67" fillId="2" borderId="4" xfId="0" applyFont="1" applyFill="1" applyBorder="1" applyAlignment="1">
      <alignment horizontal="center" vertical="center" wrapText="1"/>
    </xf>
    <xf numFmtId="0" fontId="62" fillId="2" borderId="4" xfId="0" applyFont="1" applyFill="1" applyBorder="1" applyAlignment="1">
      <alignment horizontal="center" vertical="center" wrapText="1"/>
    </xf>
    <xf numFmtId="0" fontId="62" fillId="2" borderId="20" xfId="0" applyFont="1" applyFill="1" applyBorder="1" applyAlignment="1">
      <alignment horizontal="center" vertical="center" wrapText="1"/>
    </xf>
    <xf numFmtId="0" fontId="62" fillId="2" borderId="21" xfId="0" applyFont="1" applyFill="1" applyBorder="1" applyAlignment="1">
      <alignment horizontal="center" vertical="center" wrapText="1"/>
    </xf>
    <xf numFmtId="0" fontId="62" fillId="2" borderId="25" xfId="0" applyFont="1" applyFill="1" applyBorder="1" applyAlignment="1">
      <alignment horizontal="center" vertical="center" wrapText="1"/>
    </xf>
    <xf numFmtId="0" fontId="62" fillId="2" borderId="26" xfId="0" applyFont="1" applyFill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/>
    </xf>
    <xf numFmtId="1" fontId="63" fillId="3" borderId="5" xfId="0" applyNumberFormat="1" applyFont="1" applyFill="1" applyBorder="1" applyAlignment="1">
      <alignment horizontal="center" vertical="center" wrapText="1"/>
    </xf>
    <xf numFmtId="0" fontId="62" fillId="0" borderId="24" xfId="0" applyFont="1" applyBorder="1" applyAlignment="1">
      <alignment horizontal="center" vertical="center" wrapText="1"/>
    </xf>
    <xf numFmtId="0" fontId="62" fillId="0" borderId="5" xfId="0" applyFont="1" applyBorder="1" applyAlignment="1">
      <alignment horizontal="center" vertical="center" wrapText="1"/>
    </xf>
    <xf numFmtId="0" fontId="62" fillId="0" borderId="29" xfId="0" applyFont="1" applyBorder="1" applyAlignment="1">
      <alignment horizontal="center" vertical="center" wrapText="1"/>
    </xf>
    <xf numFmtId="1" fontId="67" fillId="3" borderId="27" xfId="0" applyNumberFormat="1" applyFont="1" applyFill="1" applyBorder="1" applyAlignment="1">
      <alignment horizontal="center" vertical="center"/>
    </xf>
    <xf numFmtId="1" fontId="67" fillId="3" borderId="28" xfId="0" applyNumberFormat="1" applyFont="1" applyFill="1" applyBorder="1" applyAlignment="1">
      <alignment horizontal="center" vertical="center"/>
    </xf>
    <xf numFmtId="1" fontId="67" fillId="3" borderId="30" xfId="0" applyNumberFormat="1" applyFont="1" applyFill="1" applyBorder="1" applyAlignment="1">
      <alignment horizontal="center" vertical="center"/>
    </xf>
    <xf numFmtId="1" fontId="63" fillId="3" borderId="27" xfId="0" applyNumberFormat="1" applyFont="1" applyFill="1" applyBorder="1" applyAlignment="1">
      <alignment horizontal="center" vertical="center" wrapText="1"/>
    </xf>
    <xf numFmtId="1" fontId="63" fillId="3" borderId="28" xfId="0" applyNumberFormat="1" applyFont="1" applyFill="1" applyBorder="1" applyAlignment="1">
      <alignment horizontal="center" vertical="center" wrapText="1"/>
    </xf>
    <xf numFmtId="1" fontId="63" fillId="3" borderId="30" xfId="0" applyNumberFormat="1" applyFont="1" applyFill="1" applyBorder="1" applyAlignment="1">
      <alignment horizontal="center" vertical="center" wrapText="1"/>
    </xf>
    <xf numFmtId="1" fontId="63" fillId="3" borderId="24" xfId="0" applyNumberFormat="1" applyFont="1" applyFill="1" applyBorder="1" applyAlignment="1">
      <alignment horizontal="center" vertical="center" wrapText="1"/>
    </xf>
    <xf numFmtId="1" fontId="67" fillId="3" borderId="5" xfId="0" applyNumberFormat="1" applyFont="1" applyFill="1" applyBorder="1" applyAlignment="1">
      <alignment horizontal="center" vertical="center"/>
    </xf>
    <xf numFmtId="0" fontId="16" fillId="13" borderId="2" xfId="0" applyFont="1" applyFill="1" applyBorder="1" applyAlignment="1">
      <alignment horizontal="center" vertical="center" wrapText="1"/>
    </xf>
    <xf numFmtId="0" fontId="16" fillId="13" borderId="18" xfId="0" applyFont="1" applyFill="1" applyBorder="1" applyAlignment="1">
      <alignment horizontal="center" vertical="center" wrapText="1"/>
    </xf>
    <xf numFmtId="0" fontId="16" fillId="13" borderId="3" xfId="0" applyFont="1" applyFill="1" applyBorder="1" applyAlignment="1">
      <alignment horizontal="center" vertical="center" wrapText="1"/>
    </xf>
    <xf numFmtId="0" fontId="16" fillId="14" borderId="2" xfId="0" applyFont="1" applyFill="1" applyBorder="1" applyAlignment="1">
      <alignment horizontal="center" vertical="center" wrapText="1"/>
    </xf>
    <xf numFmtId="0" fontId="16" fillId="14" borderId="18" xfId="0" applyFont="1" applyFill="1" applyBorder="1" applyAlignment="1">
      <alignment horizontal="center" vertical="center" wrapText="1"/>
    </xf>
    <xf numFmtId="0" fontId="16" fillId="14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3" applyFont="1" applyBorder="1" applyAlignment="1">
      <alignment horizontal="center" vertical="center" wrapText="1"/>
    </xf>
    <xf numFmtId="0" fontId="16" fillId="12" borderId="2" xfId="0" applyFont="1" applyFill="1" applyBorder="1" applyAlignment="1">
      <alignment horizontal="center" vertical="center" wrapText="1"/>
    </xf>
    <xf numFmtId="0" fontId="16" fillId="12" borderId="18" xfId="0" applyFont="1" applyFill="1" applyBorder="1" applyAlignment="1">
      <alignment horizontal="center" vertical="center" wrapText="1"/>
    </xf>
    <xf numFmtId="0" fontId="16" fillId="1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38" fillId="3" borderId="1" xfId="0" applyFont="1" applyFill="1" applyBorder="1" applyAlignment="1">
      <alignment horizontal="center" vertical="center"/>
    </xf>
    <xf numFmtId="0" fontId="38" fillId="3" borderId="4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7" xfId="0" applyFont="1" applyFill="1" applyBorder="1" applyAlignment="1">
      <alignment horizontal="center" vertical="center"/>
    </xf>
    <xf numFmtId="0" fontId="45" fillId="2" borderId="1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4" fontId="20" fillId="0" borderId="1" xfId="0" applyNumberFormat="1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65" fillId="0" borderId="2" xfId="0" applyFont="1" applyBorder="1" applyAlignment="1">
      <alignment horizontal="center"/>
    </xf>
    <xf numFmtId="0" fontId="42" fillId="0" borderId="18" xfId="0" applyFont="1" applyBorder="1" applyAlignment="1">
      <alignment horizontal="center"/>
    </xf>
    <xf numFmtId="0" fontId="42" fillId="0" borderId="3" xfId="0" applyFont="1" applyBorder="1" applyAlignment="1">
      <alignment horizontal="center"/>
    </xf>
    <xf numFmtId="0" fontId="29" fillId="3" borderId="17" xfId="0" applyFont="1" applyFill="1" applyBorder="1" applyAlignment="1">
      <alignment horizontal="center" vertical="center" wrapText="1"/>
    </xf>
    <xf numFmtId="0" fontId="29" fillId="3" borderId="12" xfId="0" applyFont="1" applyFill="1" applyBorder="1" applyAlignment="1">
      <alignment horizontal="center" vertical="center" wrapText="1"/>
    </xf>
    <xf numFmtId="0" fontId="29" fillId="3" borderId="15" xfId="0" applyFont="1" applyFill="1" applyBorder="1" applyAlignment="1">
      <alignment horizontal="center" vertical="center" wrapText="1"/>
    </xf>
    <xf numFmtId="0" fontId="29" fillId="3" borderId="13" xfId="0" applyFont="1" applyFill="1" applyBorder="1" applyAlignment="1">
      <alignment horizontal="center" vertical="center" wrapText="1"/>
    </xf>
    <xf numFmtId="0" fontId="29" fillId="3" borderId="15" xfId="0" applyFont="1" applyFill="1" applyBorder="1" applyAlignment="1">
      <alignment horizontal="center" vertical="center"/>
    </xf>
    <xf numFmtId="0" fontId="29" fillId="3" borderId="16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textRotation="90"/>
    </xf>
    <xf numFmtId="0" fontId="15" fillId="0" borderId="1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3" borderId="0" xfId="0" applyFont="1" applyFill="1" applyAlignment="1">
      <alignment vertical="center" wrapText="1"/>
    </xf>
    <xf numFmtId="0" fontId="60" fillId="3" borderId="6" xfId="0" applyFont="1" applyFill="1" applyBorder="1" applyAlignment="1">
      <alignment horizontal="center" vertical="center"/>
    </xf>
    <xf numFmtId="14" fontId="33" fillId="2" borderId="1" xfId="0" applyNumberFormat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/>
    </xf>
    <xf numFmtId="0" fontId="33" fillId="7" borderId="4" xfId="0" applyFont="1" applyFill="1" applyBorder="1" applyAlignment="1">
      <alignment horizontal="left" vertical="center" wrapText="1"/>
    </xf>
    <xf numFmtId="0" fontId="33" fillId="7" borderId="7" xfId="0" applyFont="1" applyFill="1" applyBorder="1" applyAlignment="1">
      <alignment horizontal="left" vertical="center" wrapText="1"/>
    </xf>
    <xf numFmtId="0" fontId="33" fillId="7" borderId="4" xfId="0" applyFont="1" applyFill="1" applyBorder="1" applyAlignment="1">
      <alignment horizontal="center" vertical="center" wrapText="1"/>
    </xf>
    <xf numFmtId="0" fontId="33" fillId="7" borderId="7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1" fontId="37" fillId="2" borderId="1" xfId="0" applyNumberFormat="1" applyFont="1" applyFill="1" applyBorder="1" applyAlignment="1">
      <alignment horizontal="center" vertical="center" wrapText="1"/>
    </xf>
    <xf numFmtId="0" fontId="37" fillId="11" borderId="1" xfId="0" applyFont="1" applyFill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 wrapText="1"/>
    </xf>
    <xf numFmtId="0" fontId="37" fillId="4" borderId="4" xfId="0" applyFont="1" applyFill="1" applyBorder="1" applyAlignment="1">
      <alignment horizontal="center" vertical="center" wrapText="1"/>
    </xf>
    <xf numFmtId="0" fontId="37" fillId="4" borderId="7" xfId="0" applyFont="1" applyFill="1" applyBorder="1" applyAlignment="1">
      <alignment horizontal="center" vertical="center" wrapText="1"/>
    </xf>
    <xf numFmtId="0" fontId="37" fillId="2" borderId="3" xfId="0" applyFont="1" applyFill="1" applyBorder="1" applyAlignment="1">
      <alignment horizontal="center" vertical="center" wrapText="1"/>
    </xf>
    <xf numFmtId="0" fontId="47" fillId="2" borderId="2" xfId="0" applyFont="1" applyFill="1" applyBorder="1" applyAlignment="1">
      <alignment horizontal="center" vertical="center" wrapText="1"/>
    </xf>
    <xf numFmtId="0" fontId="47" fillId="2" borderId="3" xfId="0" applyFont="1" applyFill="1" applyBorder="1" applyAlignment="1">
      <alignment horizontal="center" vertical="center" wrapText="1"/>
    </xf>
    <xf numFmtId="0" fontId="47" fillId="2" borderId="1" xfId="0" applyFont="1" applyFill="1" applyBorder="1" applyAlignment="1">
      <alignment horizontal="center" vertical="center" wrapText="1"/>
    </xf>
    <xf numFmtId="0" fontId="47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54" fillId="2" borderId="1" xfId="0" applyFont="1" applyFill="1" applyBorder="1" applyAlignment="1">
      <alignment horizontal="center" vertical="center" wrapText="1"/>
    </xf>
    <xf numFmtId="0" fontId="54" fillId="2" borderId="4" xfId="0" applyFont="1" applyFill="1" applyBorder="1" applyAlignment="1">
      <alignment horizontal="center" vertical="center"/>
    </xf>
    <xf numFmtId="0" fontId="54" fillId="7" borderId="20" xfId="0" applyFont="1" applyFill="1" applyBorder="1" applyAlignment="1">
      <alignment horizontal="center" vertical="center" wrapText="1"/>
    </xf>
    <xf numFmtId="0" fontId="54" fillId="7" borderId="21" xfId="0" applyFont="1" applyFill="1" applyBorder="1" applyAlignment="1">
      <alignment horizontal="center" vertical="center" wrapText="1"/>
    </xf>
    <xf numFmtId="14" fontId="54" fillId="2" borderId="1" xfId="0" applyNumberFormat="1" applyFont="1" applyFill="1" applyBorder="1" applyAlignment="1">
      <alignment horizontal="center" vertical="center" wrapText="1"/>
    </xf>
    <xf numFmtId="0" fontId="54" fillId="2" borderId="5" xfId="0" applyFont="1" applyFill="1" applyBorder="1" applyAlignment="1">
      <alignment horizontal="center" vertical="center" wrapText="1"/>
    </xf>
    <xf numFmtId="0" fontId="57" fillId="8" borderId="5" xfId="0" applyFont="1" applyFill="1" applyBorder="1" applyAlignment="1">
      <alignment horizontal="center" vertical="center" wrapText="1"/>
    </xf>
    <xf numFmtId="0" fontId="57" fillId="8" borderId="7" xfId="0" applyFont="1" applyFill="1" applyBorder="1" applyAlignment="1">
      <alignment horizontal="center" vertical="center" wrapText="1"/>
    </xf>
    <xf numFmtId="0" fontId="54" fillId="4" borderId="5" xfId="0" applyFont="1" applyFill="1" applyBorder="1" applyAlignment="1">
      <alignment horizontal="center" vertical="center" wrapText="1"/>
    </xf>
    <xf numFmtId="0" fontId="54" fillId="4" borderId="24" xfId="0" applyFont="1" applyFill="1" applyBorder="1" applyAlignment="1">
      <alignment horizontal="center" vertical="center" wrapText="1"/>
    </xf>
    <xf numFmtId="0" fontId="54" fillId="2" borderId="7" xfId="0" applyFont="1" applyFill="1" applyBorder="1" applyAlignment="1">
      <alignment horizontal="center" vertical="center"/>
    </xf>
    <xf numFmtId="0" fontId="54" fillId="7" borderId="31" xfId="0" applyFont="1" applyFill="1" applyBorder="1" applyAlignment="1">
      <alignment horizontal="center" vertical="center" wrapText="1"/>
    </xf>
    <xf numFmtId="0" fontId="54" fillId="7" borderId="23" xfId="0" applyFont="1" applyFill="1" applyBorder="1" applyAlignment="1">
      <alignment horizontal="center" vertical="center" wrapText="1"/>
    </xf>
    <xf numFmtId="0" fontId="54" fillId="2" borderId="7" xfId="0" applyFont="1" applyFill="1" applyBorder="1" applyAlignment="1">
      <alignment horizontal="center" vertical="center" wrapText="1"/>
    </xf>
    <xf numFmtId="0" fontId="57" fillId="8" borderId="1" xfId="0" applyFont="1" applyFill="1" applyBorder="1" applyAlignment="1">
      <alignment horizontal="center" vertical="center" wrapText="1"/>
    </xf>
    <xf numFmtId="0" fontId="54" fillId="4" borderId="7" xfId="0" applyFont="1" applyFill="1" applyBorder="1" applyAlignment="1">
      <alignment horizontal="center" vertical="center" wrapText="1"/>
    </xf>
    <xf numFmtId="0" fontId="56" fillId="2" borderId="4" xfId="0" applyFont="1" applyFill="1" applyBorder="1" applyAlignment="1">
      <alignment horizontal="center" vertical="center"/>
    </xf>
    <xf numFmtId="0" fontId="56" fillId="2" borderId="7" xfId="0" applyFont="1" applyFill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Процентный" xfId="2" builtinId="5"/>
    <cellStyle name="Финансовый" xfId="3" builtinId="3"/>
  </cellStyles>
  <dxfs count="0"/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AH35"/>
  <sheetViews>
    <sheetView zoomScale="71" zoomScaleNormal="71" zoomScaleSheetLayoutView="40" workbookViewId="0">
      <pane xSplit="2" ySplit="2" topLeftCell="C12" activePane="bottomRight" state="frozen"/>
      <selection pane="topRight" activeCell="C1" sqref="C1"/>
      <selection pane="bottomLeft" activeCell="A3" sqref="A3"/>
      <selection pane="bottomRight" activeCell="L23" sqref="L23"/>
    </sheetView>
  </sheetViews>
  <sheetFormatPr defaultColWidth="9.33203125" defaultRowHeight="15.05" x14ac:dyDescent="0.3"/>
  <cols>
    <col min="1" max="1" width="10.6640625" style="1" customWidth="1"/>
    <col min="2" max="2" width="22.6640625" style="15" customWidth="1"/>
    <col min="3" max="3" width="12.33203125" style="1" hidden="1" customWidth="1"/>
    <col min="4" max="4" width="10.6640625" style="1" hidden="1" customWidth="1"/>
    <col min="5" max="5" width="32.6640625" style="1" customWidth="1"/>
    <col min="6" max="6" width="21.6640625" style="1" customWidth="1"/>
    <col min="7" max="7" width="16.6640625" style="1" hidden="1" customWidth="1"/>
    <col min="8" max="8" width="24.44140625" style="1" hidden="1" customWidth="1"/>
    <col min="9" max="9" width="19.6640625" style="1" hidden="1" customWidth="1"/>
    <col min="10" max="10" width="19.6640625" style="65" customWidth="1"/>
    <col min="11" max="11" width="15" style="1" customWidth="1"/>
    <col min="12" max="12" width="15.33203125" style="1" customWidth="1"/>
    <col min="13" max="13" width="24.44140625" style="1" customWidth="1"/>
    <col min="14" max="14" width="14.44140625" style="15" customWidth="1"/>
    <col min="15" max="15" width="11.33203125" style="1" customWidth="1"/>
    <col min="16" max="16" width="11.44140625" style="1" customWidth="1"/>
    <col min="17" max="17" width="10.44140625" style="1" customWidth="1"/>
    <col min="18" max="18" width="10.6640625" style="1" customWidth="1"/>
    <col min="19" max="20" width="10" style="15" hidden="1" customWidth="1"/>
    <col min="21" max="25" width="10.33203125" style="15" hidden="1" customWidth="1"/>
    <col min="26" max="26" width="0.33203125" style="15" hidden="1" customWidth="1"/>
    <col min="27" max="27" width="10.33203125" style="15" hidden="1" customWidth="1"/>
    <col min="28" max="28" width="12.44140625" style="15" hidden="1" customWidth="1"/>
    <col min="29" max="29" width="12.6640625" style="15" hidden="1" customWidth="1"/>
    <col min="30" max="30" width="13.44140625" style="15" hidden="1" customWidth="1"/>
    <col min="31" max="31" width="15.33203125" style="15" hidden="1" customWidth="1"/>
    <col min="32" max="32" width="13.33203125" style="15" customWidth="1"/>
    <col min="33" max="33" width="13" style="1" customWidth="1"/>
    <col min="34" max="34" width="16.33203125" style="1" hidden="1" customWidth="1"/>
    <col min="35" max="16384" width="9.33203125" style="1"/>
  </cols>
  <sheetData>
    <row r="1" spans="1:34" ht="23.35" customHeight="1" x14ac:dyDescent="0.3">
      <c r="A1" s="430" t="s">
        <v>76</v>
      </c>
      <c r="B1" s="430" t="s">
        <v>75</v>
      </c>
      <c r="C1" s="430" t="s">
        <v>74</v>
      </c>
      <c r="D1" s="430" t="s">
        <v>66</v>
      </c>
      <c r="E1" s="432" t="s">
        <v>65</v>
      </c>
      <c r="F1" s="432"/>
      <c r="G1" s="430" t="s">
        <v>62</v>
      </c>
      <c r="H1" s="430" t="s">
        <v>78</v>
      </c>
      <c r="I1" s="430" t="s">
        <v>13</v>
      </c>
      <c r="J1" s="431" t="s">
        <v>77</v>
      </c>
      <c r="K1" s="430" t="s">
        <v>21</v>
      </c>
      <c r="L1" s="430" t="s">
        <v>22</v>
      </c>
      <c r="M1" s="430" t="s">
        <v>225</v>
      </c>
      <c r="N1" s="430" t="s">
        <v>324</v>
      </c>
      <c r="O1" s="430" t="s">
        <v>70</v>
      </c>
      <c r="P1" s="430" t="s">
        <v>71</v>
      </c>
      <c r="Q1" s="430" t="s">
        <v>72</v>
      </c>
      <c r="R1" s="430" t="s">
        <v>73</v>
      </c>
      <c r="S1" s="430" t="s">
        <v>408</v>
      </c>
      <c r="T1" s="430" t="s">
        <v>84</v>
      </c>
      <c r="U1" s="430" t="s">
        <v>85</v>
      </c>
      <c r="V1" s="430" t="s">
        <v>271</v>
      </c>
      <c r="W1" s="430" t="s">
        <v>305</v>
      </c>
      <c r="X1" s="430" t="s">
        <v>365</v>
      </c>
      <c r="Y1" s="430" t="s">
        <v>368</v>
      </c>
      <c r="Z1" s="430" t="s">
        <v>380</v>
      </c>
      <c r="AA1" s="430" t="s">
        <v>410</v>
      </c>
      <c r="AB1" s="430" t="s">
        <v>411</v>
      </c>
      <c r="AC1" s="430" t="s">
        <v>431</v>
      </c>
      <c r="AD1" s="430" t="s">
        <v>378</v>
      </c>
      <c r="AE1" s="430" t="s">
        <v>377</v>
      </c>
      <c r="AF1" s="430" t="s">
        <v>374</v>
      </c>
      <c r="AG1" s="429" t="s">
        <v>80</v>
      </c>
      <c r="AH1" s="429" t="s">
        <v>326</v>
      </c>
    </row>
    <row r="2" spans="1:34" ht="49.5" customHeight="1" x14ac:dyDescent="0.3">
      <c r="A2" s="430"/>
      <c r="B2" s="430"/>
      <c r="C2" s="430"/>
      <c r="D2" s="430"/>
      <c r="E2" s="88" t="s">
        <v>26</v>
      </c>
      <c r="F2" s="88" t="s">
        <v>27</v>
      </c>
      <c r="G2" s="430"/>
      <c r="H2" s="430"/>
      <c r="I2" s="430"/>
      <c r="J2" s="431"/>
      <c r="K2" s="430"/>
      <c r="L2" s="430"/>
      <c r="M2" s="430"/>
      <c r="N2" s="430"/>
      <c r="O2" s="430"/>
      <c r="P2" s="430"/>
      <c r="Q2" s="430"/>
      <c r="R2" s="430"/>
      <c r="S2" s="430"/>
      <c r="T2" s="430"/>
      <c r="U2" s="430"/>
      <c r="V2" s="430"/>
      <c r="W2" s="430"/>
      <c r="X2" s="430"/>
      <c r="Y2" s="430"/>
      <c r="Z2" s="430"/>
      <c r="AA2" s="430"/>
      <c r="AB2" s="430"/>
      <c r="AC2" s="430"/>
      <c r="AD2" s="430"/>
      <c r="AE2" s="430"/>
      <c r="AF2" s="430"/>
      <c r="AG2" s="429"/>
      <c r="AH2" s="429"/>
    </row>
    <row r="3" spans="1:34" ht="41.95" customHeight="1" x14ac:dyDescent="0.3">
      <c r="A3" s="49">
        <v>1</v>
      </c>
      <c r="B3" s="76" t="s">
        <v>31</v>
      </c>
      <c r="C3" s="49" t="s">
        <v>63</v>
      </c>
      <c r="D3" s="49" t="s">
        <v>67</v>
      </c>
      <c r="E3" s="67" t="s">
        <v>29</v>
      </c>
      <c r="F3" s="49" t="s">
        <v>30</v>
      </c>
      <c r="G3" s="49" t="s">
        <v>28</v>
      </c>
      <c r="H3" s="49" t="s">
        <v>432</v>
      </c>
      <c r="I3" s="49" t="s">
        <v>322</v>
      </c>
      <c r="J3" s="68">
        <v>39048</v>
      </c>
      <c r="K3" s="49">
        <v>9</v>
      </c>
      <c r="L3" s="49">
        <v>4</v>
      </c>
      <c r="M3" s="49" t="s">
        <v>224</v>
      </c>
      <c r="N3" s="76">
        <v>147</v>
      </c>
      <c r="O3" s="49">
        <v>82</v>
      </c>
      <c r="P3" s="49">
        <v>30</v>
      </c>
      <c r="Q3" s="49">
        <v>24</v>
      </c>
      <c r="R3" s="49">
        <v>18</v>
      </c>
      <c r="S3" s="49">
        <f>198+74</f>
        <v>272</v>
      </c>
      <c r="T3" s="49">
        <v>307</v>
      </c>
      <c r="U3" s="49">
        <v>322</v>
      </c>
      <c r="V3" s="49">
        <v>318</v>
      </c>
      <c r="W3" s="49">
        <v>328</v>
      </c>
      <c r="X3" s="49">
        <f>249+74</f>
        <v>323</v>
      </c>
      <c r="Y3" s="49">
        <f>257+74</f>
        <v>331</v>
      </c>
      <c r="Z3" s="49">
        <f>260+70</f>
        <v>330</v>
      </c>
      <c r="AA3" s="49">
        <f>269+68</f>
        <v>337</v>
      </c>
      <c r="AB3" s="49">
        <f>269+68</f>
        <v>337</v>
      </c>
      <c r="AC3" s="74">
        <f>AD3+AE3</f>
        <v>13499.099999999999</v>
      </c>
      <c r="AD3" s="70">
        <v>567.9</v>
      </c>
      <c r="AE3" s="70">
        <f>12924.8+6.4</f>
        <v>12931.199999999999</v>
      </c>
      <c r="AF3" s="70">
        <v>7681.9</v>
      </c>
      <c r="AG3" s="75" t="s">
        <v>10</v>
      </c>
      <c r="AH3" s="75" t="s">
        <v>12</v>
      </c>
    </row>
    <row r="4" spans="1:34" ht="41.95" customHeight="1" x14ac:dyDescent="0.3">
      <c r="A4" s="49">
        <v>2</v>
      </c>
      <c r="B4" s="76" t="s">
        <v>36</v>
      </c>
      <c r="C4" s="49" t="s">
        <v>63</v>
      </c>
      <c r="D4" s="49" t="s">
        <v>67</v>
      </c>
      <c r="E4" s="67" t="s">
        <v>29</v>
      </c>
      <c r="F4" s="49" t="s">
        <v>35</v>
      </c>
      <c r="G4" s="49" t="s">
        <v>28</v>
      </c>
      <c r="H4" s="49" t="s">
        <v>432</v>
      </c>
      <c r="I4" s="49" t="s">
        <v>309</v>
      </c>
      <c r="J4" s="68">
        <v>39437</v>
      </c>
      <c r="K4" s="49">
        <v>9</v>
      </c>
      <c r="L4" s="49">
        <v>4</v>
      </c>
      <c r="M4" s="49" t="s">
        <v>223</v>
      </c>
      <c r="N4" s="76">
        <v>142</v>
      </c>
      <c r="O4" s="49">
        <v>62</v>
      </c>
      <c r="P4" s="49">
        <v>46</v>
      </c>
      <c r="Q4" s="49">
        <v>34</v>
      </c>
      <c r="R4" s="49">
        <v>0</v>
      </c>
      <c r="S4" s="49">
        <f>165+40</f>
        <v>205</v>
      </c>
      <c r="T4" s="49">
        <v>255</v>
      </c>
      <c r="U4" s="49">
        <v>285</v>
      </c>
      <c r="V4" s="49">
        <v>285</v>
      </c>
      <c r="W4" s="49">
        <v>308</v>
      </c>
      <c r="X4" s="49">
        <f>254+53</f>
        <v>307</v>
      </c>
      <c r="Y4" s="49">
        <f>250+53</f>
        <v>303</v>
      </c>
      <c r="Z4" s="49">
        <f>260+46</f>
        <v>306</v>
      </c>
      <c r="AA4" s="49">
        <f>263+45</f>
        <v>308</v>
      </c>
      <c r="AB4" s="49">
        <f>255+45</f>
        <v>300</v>
      </c>
      <c r="AC4" s="74" t="e">
        <f t="shared" ref="AC4:AC20" si="0">AD4+AE4</f>
        <v>#REF!</v>
      </c>
      <c r="AD4" s="70">
        <f>124+98.3+83.7+313.2+145.5+131.7+180.9+399.2+165.6+304.8+237.6</f>
        <v>2184.5</v>
      </c>
      <c r="AE4" s="70" t="e">
        <f>AF4+#REF!-1.1+1.3</f>
        <v>#REF!</v>
      </c>
      <c r="AF4" s="70">
        <v>6555.9</v>
      </c>
      <c r="AG4" s="75" t="s">
        <v>10</v>
      </c>
      <c r="AH4" s="75" t="s">
        <v>12</v>
      </c>
    </row>
    <row r="5" spans="1:34" ht="41.95" customHeight="1" x14ac:dyDescent="0.3">
      <c r="A5" s="49">
        <v>3</v>
      </c>
      <c r="B5" s="76" t="s">
        <v>1</v>
      </c>
      <c r="C5" s="49" t="s">
        <v>64</v>
      </c>
      <c r="D5" s="49" t="s">
        <v>67</v>
      </c>
      <c r="E5" s="67" t="s">
        <v>37</v>
      </c>
      <c r="F5" s="49">
        <v>5</v>
      </c>
      <c r="G5" s="49" t="s">
        <v>28</v>
      </c>
      <c r="H5" s="49" t="s">
        <v>433</v>
      </c>
      <c r="I5" s="49" t="s">
        <v>418</v>
      </c>
      <c r="J5" s="68">
        <v>39849</v>
      </c>
      <c r="K5" s="49">
        <v>10</v>
      </c>
      <c r="L5" s="49">
        <v>1</v>
      </c>
      <c r="M5" s="73" t="s">
        <v>217</v>
      </c>
      <c r="N5" s="76">
        <v>54</v>
      </c>
      <c r="O5" s="49">
        <v>36</v>
      </c>
      <c r="P5" s="49">
        <v>18</v>
      </c>
      <c r="Q5" s="49"/>
      <c r="R5" s="49"/>
      <c r="S5" s="49">
        <f>45+46</f>
        <v>91</v>
      </c>
      <c r="T5" s="49">
        <v>84</v>
      </c>
      <c r="U5" s="49">
        <v>90</v>
      </c>
      <c r="V5" s="49">
        <v>89</v>
      </c>
      <c r="W5" s="49">
        <v>87</v>
      </c>
      <c r="X5" s="49">
        <f>55+29</f>
        <v>84</v>
      </c>
      <c r="Y5" s="49">
        <f>56+26</f>
        <v>82</v>
      </c>
      <c r="Z5" s="49">
        <f>55+26</f>
        <v>81</v>
      </c>
      <c r="AA5" s="49">
        <f>56+35</f>
        <v>91</v>
      </c>
      <c r="AB5" s="49">
        <f>61+33</f>
        <v>94</v>
      </c>
      <c r="AC5" s="74" t="e">
        <f t="shared" si="0"/>
        <v>#REF!</v>
      </c>
      <c r="AD5" s="70">
        <f>150+151.9+164.5</f>
        <v>466.4</v>
      </c>
      <c r="AE5" s="70" t="e">
        <f>AF5+#REF!</f>
        <v>#REF!</v>
      </c>
      <c r="AF5" s="70">
        <v>1074.8</v>
      </c>
      <c r="AG5" s="75" t="s">
        <v>11</v>
      </c>
      <c r="AH5" s="75" t="s">
        <v>20</v>
      </c>
    </row>
    <row r="6" spans="1:34" ht="41.95" customHeight="1" x14ac:dyDescent="0.3">
      <c r="A6" s="49">
        <v>4</v>
      </c>
      <c r="B6" s="76" t="s">
        <v>40</v>
      </c>
      <c r="C6" s="49" t="s">
        <v>64</v>
      </c>
      <c r="D6" s="49" t="s">
        <v>67</v>
      </c>
      <c r="E6" s="67" t="s">
        <v>39</v>
      </c>
      <c r="F6" s="49">
        <v>51</v>
      </c>
      <c r="G6" s="49" t="s">
        <v>28</v>
      </c>
      <c r="H6" s="49" t="s">
        <v>433</v>
      </c>
      <c r="I6" s="49" t="s">
        <v>79</v>
      </c>
      <c r="J6" s="68">
        <v>40329</v>
      </c>
      <c r="K6" s="49">
        <v>12</v>
      </c>
      <c r="L6" s="49">
        <v>2</v>
      </c>
      <c r="M6" s="49" t="s">
        <v>218</v>
      </c>
      <c r="N6" s="76">
        <v>109</v>
      </c>
      <c r="O6" s="49">
        <v>44</v>
      </c>
      <c r="P6" s="49">
        <v>44</v>
      </c>
      <c r="Q6" s="49">
        <v>22</v>
      </c>
      <c r="R6" s="49"/>
      <c r="S6" s="49">
        <f>69+84</f>
        <v>153</v>
      </c>
      <c r="T6" s="49">
        <v>172</v>
      </c>
      <c r="U6" s="49">
        <v>204</v>
      </c>
      <c r="V6" s="49">
        <v>207</v>
      </c>
      <c r="W6" s="49">
        <v>198</v>
      </c>
      <c r="X6" s="49">
        <f>127+68</f>
        <v>195</v>
      </c>
      <c r="Y6" s="49">
        <f>133+65</f>
        <v>198</v>
      </c>
      <c r="Z6" s="49">
        <f>126+58</f>
        <v>184</v>
      </c>
      <c r="AA6" s="49">
        <f>136+56</f>
        <v>192</v>
      </c>
      <c r="AB6" s="49">
        <f>139+54</f>
        <v>193</v>
      </c>
      <c r="AC6" s="74" t="e">
        <f t="shared" si="0"/>
        <v>#REF!</v>
      </c>
      <c r="AD6" s="70">
        <v>1130.8</v>
      </c>
      <c r="AE6" s="70" t="e">
        <f>AF6+#REF!</f>
        <v>#REF!</v>
      </c>
      <c r="AF6" s="70">
        <v>3919.1</v>
      </c>
      <c r="AG6" s="75" t="s">
        <v>10</v>
      </c>
      <c r="AH6" s="75" t="s">
        <v>20</v>
      </c>
    </row>
    <row r="7" spans="1:34" ht="41.95" customHeight="1" x14ac:dyDescent="0.3">
      <c r="A7" s="49">
        <v>5</v>
      </c>
      <c r="B7" s="76" t="s">
        <v>0</v>
      </c>
      <c r="C7" s="49" t="s">
        <v>64</v>
      </c>
      <c r="D7" s="49" t="s">
        <v>67</v>
      </c>
      <c r="E7" s="67" t="s">
        <v>42</v>
      </c>
      <c r="F7" s="49">
        <v>8</v>
      </c>
      <c r="G7" s="49" t="s">
        <v>28</v>
      </c>
      <c r="H7" s="49" t="s">
        <v>434</v>
      </c>
      <c r="I7" s="49" t="s">
        <v>79</v>
      </c>
      <c r="J7" s="68">
        <v>40618</v>
      </c>
      <c r="K7" s="49">
        <v>10</v>
      </c>
      <c r="L7" s="49">
        <v>3</v>
      </c>
      <c r="M7" s="49" t="s">
        <v>220</v>
      </c>
      <c r="N7" s="76">
        <v>120</v>
      </c>
      <c r="O7" s="49">
        <v>41</v>
      </c>
      <c r="P7" s="49">
        <v>23</v>
      </c>
      <c r="Q7" s="49">
        <v>55</v>
      </c>
      <c r="R7" s="49">
        <v>1</v>
      </c>
      <c r="S7" s="49">
        <f>125+66</f>
        <v>191</v>
      </c>
      <c r="T7" s="49">
        <v>260</v>
      </c>
      <c r="U7" s="49">
        <v>270</v>
      </c>
      <c r="V7" s="49">
        <v>252</v>
      </c>
      <c r="W7" s="49">
        <v>245</v>
      </c>
      <c r="X7" s="49">
        <f>198+48</f>
        <v>246</v>
      </c>
      <c r="Y7" s="49">
        <f>208+48</f>
        <v>256</v>
      </c>
      <c r="Z7" s="49">
        <f>220+41</f>
        <v>261</v>
      </c>
      <c r="AA7" s="49">
        <f>231+37</f>
        <v>268</v>
      </c>
      <c r="AB7" s="49">
        <f>241+34</f>
        <v>275</v>
      </c>
      <c r="AC7" s="74" t="e">
        <f t="shared" si="0"/>
        <v>#REF!</v>
      </c>
      <c r="AD7" s="70">
        <v>0</v>
      </c>
      <c r="AE7" s="70" t="e">
        <f>AF7+#REF!+5.6</f>
        <v>#REF!</v>
      </c>
      <c r="AF7" s="70">
        <v>4723.2</v>
      </c>
      <c r="AG7" s="75" t="s">
        <v>11</v>
      </c>
      <c r="AH7" s="75" t="s">
        <v>20</v>
      </c>
    </row>
    <row r="8" spans="1:34" ht="41.95" customHeight="1" x14ac:dyDescent="0.3">
      <c r="A8" s="49">
        <v>6</v>
      </c>
      <c r="B8" s="71" t="s">
        <v>4</v>
      </c>
      <c r="C8" s="49" t="s">
        <v>64</v>
      </c>
      <c r="D8" s="49" t="s">
        <v>67</v>
      </c>
      <c r="E8" s="67" t="s">
        <v>43</v>
      </c>
      <c r="F8" s="49">
        <v>19</v>
      </c>
      <c r="G8" s="49" t="s">
        <v>28</v>
      </c>
      <c r="H8" s="49" t="s">
        <v>435</v>
      </c>
      <c r="I8" s="49" t="s">
        <v>414</v>
      </c>
      <c r="J8" s="68">
        <v>40847</v>
      </c>
      <c r="K8" s="73">
        <v>10</v>
      </c>
      <c r="L8" s="49">
        <v>2</v>
      </c>
      <c r="M8" s="73" t="s">
        <v>219</v>
      </c>
      <c r="N8" s="76">
        <v>80</v>
      </c>
      <c r="O8" s="49">
        <v>2</v>
      </c>
      <c r="P8" s="49">
        <v>38</v>
      </c>
      <c r="Q8" s="49">
        <v>40</v>
      </c>
      <c r="R8" s="49"/>
      <c r="S8" s="73">
        <v>49</v>
      </c>
      <c r="T8" s="73">
        <v>192</v>
      </c>
      <c r="U8" s="73">
        <v>231</v>
      </c>
      <c r="V8" s="73">
        <v>244</v>
      </c>
      <c r="W8" s="73">
        <v>248</v>
      </c>
      <c r="X8" s="73">
        <f>220+28</f>
        <v>248</v>
      </c>
      <c r="Y8" s="73">
        <f>221+28</f>
        <v>249</v>
      </c>
      <c r="Z8" s="73">
        <f>221+28</f>
        <v>249</v>
      </c>
      <c r="AA8" s="73">
        <f>227+27</f>
        <v>254</v>
      </c>
      <c r="AB8" s="49">
        <f>225+27</f>
        <v>252</v>
      </c>
      <c r="AC8" s="74" t="e">
        <f t="shared" si="0"/>
        <v>#REF!</v>
      </c>
      <c r="AD8" s="70">
        <v>0</v>
      </c>
      <c r="AE8" s="70" t="e">
        <f>AF8+#REF!+1.1</f>
        <v>#REF!</v>
      </c>
      <c r="AF8" s="70">
        <v>2979</v>
      </c>
      <c r="AG8" s="74" t="s">
        <v>11</v>
      </c>
      <c r="AH8" s="75" t="s">
        <v>12</v>
      </c>
    </row>
    <row r="9" spans="1:34" ht="41.95" customHeight="1" x14ac:dyDescent="0.3">
      <c r="A9" s="49">
        <v>7</v>
      </c>
      <c r="B9" s="76" t="s">
        <v>3</v>
      </c>
      <c r="C9" s="49" t="s">
        <v>64</v>
      </c>
      <c r="D9" s="49" t="s">
        <v>67</v>
      </c>
      <c r="E9" s="67" t="s">
        <v>44</v>
      </c>
      <c r="F9" s="49">
        <v>87</v>
      </c>
      <c r="G9" s="49" t="s">
        <v>28</v>
      </c>
      <c r="H9" s="49" t="s">
        <v>433</v>
      </c>
      <c r="I9" s="49" t="s">
        <v>418</v>
      </c>
      <c r="J9" s="68">
        <v>40847</v>
      </c>
      <c r="K9" s="49">
        <v>10</v>
      </c>
      <c r="L9" s="49">
        <v>2</v>
      </c>
      <c r="M9" s="73" t="s">
        <v>219</v>
      </c>
      <c r="N9" s="76">
        <v>80</v>
      </c>
      <c r="O9" s="49">
        <v>21</v>
      </c>
      <c r="P9" s="49">
        <v>41</v>
      </c>
      <c r="Q9" s="49">
        <v>18</v>
      </c>
      <c r="R9" s="49"/>
      <c r="S9" s="49">
        <v>0</v>
      </c>
      <c r="T9" s="49">
        <v>143</v>
      </c>
      <c r="U9" s="49">
        <v>188</v>
      </c>
      <c r="V9" s="49">
        <v>198</v>
      </c>
      <c r="W9" s="49">
        <v>207</v>
      </c>
      <c r="X9" s="49">
        <f>171+35</f>
        <v>206</v>
      </c>
      <c r="Y9" s="49">
        <f>172+35</f>
        <v>207</v>
      </c>
      <c r="Z9" s="49">
        <f>173+32</f>
        <v>205</v>
      </c>
      <c r="AA9" s="49">
        <f>182+26</f>
        <v>208</v>
      </c>
      <c r="AB9" s="49">
        <f>181+26</f>
        <v>207</v>
      </c>
      <c r="AC9" s="74" t="e">
        <f t="shared" si="0"/>
        <v>#REF!</v>
      </c>
      <c r="AD9" s="70">
        <v>0</v>
      </c>
      <c r="AE9" s="70" t="e">
        <f>AF9+#REF!</f>
        <v>#REF!</v>
      </c>
      <c r="AF9" s="70">
        <v>2420.1999999999998</v>
      </c>
      <c r="AG9" s="75" t="s">
        <v>11</v>
      </c>
      <c r="AH9" s="75" t="s">
        <v>12</v>
      </c>
    </row>
    <row r="10" spans="1:34" ht="41.95" customHeight="1" x14ac:dyDescent="0.3">
      <c r="A10" s="49">
        <v>8</v>
      </c>
      <c r="B10" s="78">
        <v>37025</v>
      </c>
      <c r="C10" s="49" t="s">
        <v>63</v>
      </c>
      <c r="D10" s="49" t="s">
        <v>67</v>
      </c>
      <c r="E10" s="67" t="s">
        <v>45</v>
      </c>
      <c r="F10" s="49" t="s">
        <v>46</v>
      </c>
      <c r="G10" s="49" t="s">
        <v>28</v>
      </c>
      <c r="H10" s="49" t="s">
        <v>432</v>
      </c>
      <c r="I10" s="49" t="s">
        <v>309</v>
      </c>
      <c r="J10" s="68">
        <v>41421</v>
      </c>
      <c r="K10" s="49" t="s">
        <v>9</v>
      </c>
      <c r="L10" s="49">
        <v>2</v>
      </c>
      <c r="M10" s="49" t="s">
        <v>216</v>
      </c>
      <c r="N10" s="76">
        <v>93</v>
      </c>
      <c r="O10" s="49">
        <v>36</v>
      </c>
      <c r="P10" s="49">
        <v>43</v>
      </c>
      <c r="Q10" s="49">
        <v>12</v>
      </c>
      <c r="R10" s="49">
        <v>2</v>
      </c>
      <c r="S10" s="49">
        <v>0</v>
      </c>
      <c r="T10" s="49">
        <v>0</v>
      </c>
      <c r="U10" s="49">
        <v>113</v>
      </c>
      <c r="V10" s="49">
        <v>133</v>
      </c>
      <c r="W10" s="49">
        <v>164</v>
      </c>
      <c r="X10" s="49">
        <f>115+61</f>
        <v>176</v>
      </c>
      <c r="Y10" s="49">
        <f>118+56</f>
        <v>174</v>
      </c>
      <c r="Z10" s="49">
        <f>124+55</f>
        <v>179</v>
      </c>
      <c r="AA10" s="49">
        <f>129+53</f>
        <v>182</v>
      </c>
      <c r="AB10" s="49">
        <f>133+50</f>
        <v>183</v>
      </c>
      <c r="AC10" s="74" t="e">
        <f t="shared" si="0"/>
        <v>#REF!</v>
      </c>
      <c r="AD10" s="70">
        <f>100.2+109.9+80.7+77.2</f>
        <v>368</v>
      </c>
      <c r="AE10" s="70" t="e">
        <f>AF10+#REF!</f>
        <v>#REF!</v>
      </c>
      <c r="AF10" s="70">
        <v>3066.9</v>
      </c>
      <c r="AG10" s="75" t="s">
        <v>11</v>
      </c>
      <c r="AH10" s="75" t="s">
        <v>12</v>
      </c>
    </row>
    <row r="11" spans="1:34" ht="41.95" customHeight="1" x14ac:dyDescent="0.3">
      <c r="A11" s="49">
        <v>9</v>
      </c>
      <c r="B11" s="76" t="s">
        <v>6</v>
      </c>
      <c r="C11" s="49" t="s">
        <v>64</v>
      </c>
      <c r="D11" s="49" t="s">
        <v>67</v>
      </c>
      <c r="E11" s="67" t="s">
        <v>48</v>
      </c>
      <c r="F11" s="49">
        <v>67</v>
      </c>
      <c r="G11" s="49" t="s">
        <v>28</v>
      </c>
      <c r="H11" s="49" t="s">
        <v>433</v>
      </c>
      <c r="I11" s="49" t="s">
        <v>79</v>
      </c>
      <c r="J11" s="68">
        <v>41507</v>
      </c>
      <c r="K11" s="49" t="s">
        <v>49</v>
      </c>
      <c r="L11" s="49">
        <v>1</v>
      </c>
      <c r="M11" s="49" t="s">
        <v>221</v>
      </c>
      <c r="N11" s="76">
        <v>128</v>
      </c>
      <c r="O11" s="49">
        <v>64</v>
      </c>
      <c r="P11" s="49">
        <v>32</v>
      </c>
      <c r="Q11" s="49">
        <v>32</v>
      </c>
      <c r="R11" s="49"/>
      <c r="S11" s="49">
        <v>0</v>
      </c>
      <c r="T11" s="49" t="s">
        <v>86</v>
      </c>
      <c r="U11" s="49" t="s">
        <v>87</v>
      </c>
      <c r="V11" s="49" t="s">
        <v>272</v>
      </c>
      <c r="W11" s="49" t="s">
        <v>306</v>
      </c>
      <c r="X11" s="49">
        <f>120+56</f>
        <v>176</v>
      </c>
      <c r="Y11" s="49">
        <f>129+54</f>
        <v>183</v>
      </c>
      <c r="Z11" s="49">
        <f>152+45</f>
        <v>197</v>
      </c>
      <c r="AA11" s="49">
        <f>166+35</f>
        <v>201</v>
      </c>
      <c r="AB11" s="49">
        <f>169+35</f>
        <v>204</v>
      </c>
      <c r="AC11" s="74" t="e">
        <f t="shared" si="0"/>
        <v>#REF!</v>
      </c>
      <c r="AD11" s="70">
        <f>245.5+79.6+70.8+65.5+64.5+63+105.3+116.6+134.1+598.9</f>
        <v>1543.8000000000002</v>
      </c>
      <c r="AE11" s="70" t="e">
        <f>AF11+#REF!</f>
        <v>#REF!</v>
      </c>
      <c r="AF11" s="70">
        <v>4211.3</v>
      </c>
      <c r="AG11" s="75" t="s">
        <v>10</v>
      </c>
      <c r="AH11" s="75" t="s">
        <v>12</v>
      </c>
    </row>
    <row r="12" spans="1:34" ht="41.95" customHeight="1" x14ac:dyDescent="0.3">
      <c r="A12" s="49">
        <v>10</v>
      </c>
      <c r="B12" s="76" t="s">
        <v>59</v>
      </c>
      <c r="C12" s="49" t="s">
        <v>64</v>
      </c>
      <c r="D12" s="49" t="s">
        <v>67</v>
      </c>
      <c r="E12" s="67" t="s">
        <v>44</v>
      </c>
      <c r="F12" s="49" t="s">
        <v>60</v>
      </c>
      <c r="G12" s="49" t="s">
        <v>28</v>
      </c>
      <c r="H12" s="49" t="s">
        <v>433</v>
      </c>
      <c r="I12" s="49" t="s">
        <v>418</v>
      </c>
      <c r="J12" s="68">
        <v>41603</v>
      </c>
      <c r="K12" s="49" t="s">
        <v>61</v>
      </c>
      <c r="L12" s="49">
        <v>1</v>
      </c>
      <c r="M12" s="73" t="s">
        <v>222</v>
      </c>
      <c r="N12" s="76">
        <v>72</v>
      </c>
      <c r="O12" s="49">
        <v>54</v>
      </c>
      <c r="P12" s="49">
        <v>18</v>
      </c>
      <c r="Q12" s="49"/>
      <c r="R12" s="49"/>
      <c r="S12" s="49">
        <v>0</v>
      </c>
      <c r="T12" s="49" t="s">
        <v>86</v>
      </c>
      <c r="U12" s="49" t="s">
        <v>88</v>
      </c>
      <c r="V12" s="49" t="s">
        <v>273</v>
      </c>
      <c r="W12" s="49" t="s">
        <v>307</v>
      </c>
      <c r="X12" s="49">
        <f>56+22</f>
        <v>78</v>
      </c>
      <c r="Y12" s="49">
        <f>56+22</f>
        <v>78</v>
      </c>
      <c r="Z12" s="49">
        <f>63+17</f>
        <v>80</v>
      </c>
      <c r="AA12" s="49">
        <f>77+12</f>
        <v>89</v>
      </c>
      <c r="AB12" s="49">
        <f>77+12</f>
        <v>89</v>
      </c>
      <c r="AC12" s="74" t="e">
        <f t="shared" si="0"/>
        <v>#REF!</v>
      </c>
      <c r="AD12" s="70">
        <f>164.9+195.1</f>
        <v>360</v>
      </c>
      <c r="AE12" s="70" t="e">
        <f>AF12+#REF!</f>
        <v>#REF!</v>
      </c>
      <c r="AF12" s="70">
        <v>1380.3</v>
      </c>
      <c r="AG12" s="75" t="s">
        <v>10</v>
      </c>
      <c r="AH12" s="75" t="s">
        <v>12</v>
      </c>
    </row>
    <row r="13" spans="1:34" ht="41.95" customHeight="1" x14ac:dyDescent="0.3">
      <c r="A13" s="49">
        <v>11</v>
      </c>
      <c r="B13" s="76" t="s">
        <v>68</v>
      </c>
      <c r="C13" s="49" t="s">
        <v>64</v>
      </c>
      <c r="D13" s="49" t="s">
        <v>67</v>
      </c>
      <c r="E13" s="67" t="s">
        <v>42</v>
      </c>
      <c r="F13" s="49">
        <v>10</v>
      </c>
      <c r="G13" s="49" t="s">
        <v>28</v>
      </c>
      <c r="H13" s="49" t="s">
        <v>434</v>
      </c>
      <c r="I13" s="49" t="s">
        <v>79</v>
      </c>
      <c r="J13" s="68">
        <v>41687</v>
      </c>
      <c r="K13" s="49">
        <v>17</v>
      </c>
      <c r="L13" s="49">
        <v>1</v>
      </c>
      <c r="M13" s="49" t="s">
        <v>221</v>
      </c>
      <c r="N13" s="76">
        <v>128</v>
      </c>
      <c r="O13" s="49">
        <v>64</v>
      </c>
      <c r="P13" s="49">
        <v>32</v>
      </c>
      <c r="Q13" s="49">
        <v>32</v>
      </c>
      <c r="R13" s="49"/>
      <c r="S13" s="49" t="s">
        <v>86</v>
      </c>
      <c r="T13" s="49" t="s">
        <v>58</v>
      </c>
      <c r="U13" s="49">
        <v>0</v>
      </c>
      <c r="V13" s="49">
        <v>42</v>
      </c>
      <c r="W13" s="49" t="s">
        <v>308</v>
      </c>
      <c r="X13" s="49">
        <f>117+47</f>
        <v>164</v>
      </c>
      <c r="Y13" s="49">
        <f>122+46</f>
        <v>168</v>
      </c>
      <c r="Z13" s="49">
        <f>154+43</f>
        <v>197</v>
      </c>
      <c r="AA13" s="49">
        <f>173+39</f>
        <v>212</v>
      </c>
      <c r="AB13" s="49">
        <f>190+36</f>
        <v>226</v>
      </c>
      <c r="AC13" s="74" t="e">
        <f t="shared" si="0"/>
        <v>#REF!</v>
      </c>
      <c r="AD13" s="70">
        <f>110.4+146.8+150.2+109.5</f>
        <v>516.90000000000009</v>
      </c>
      <c r="AE13" s="70" t="e">
        <f>AF13+#REF!</f>
        <v>#REF!</v>
      </c>
      <c r="AF13" s="70">
        <v>4629.3</v>
      </c>
      <c r="AG13" s="75" t="s">
        <v>10</v>
      </c>
      <c r="AH13" s="75" t="s">
        <v>12</v>
      </c>
    </row>
    <row r="14" spans="1:34" ht="41.95" customHeight="1" x14ac:dyDescent="0.3">
      <c r="A14" s="49">
        <v>12</v>
      </c>
      <c r="B14" s="76" t="s">
        <v>274</v>
      </c>
      <c r="C14" s="49" t="s">
        <v>64</v>
      </c>
      <c r="D14" s="49" t="s">
        <v>67</v>
      </c>
      <c r="E14" s="67" t="s">
        <v>278</v>
      </c>
      <c r="F14" s="49">
        <v>76</v>
      </c>
      <c r="G14" s="49" t="s">
        <v>28</v>
      </c>
      <c r="H14" s="49" t="s">
        <v>433</v>
      </c>
      <c r="I14" s="49" t="s">
        <v>79</v>
      </c>
      <c r="J14" s="68">
        <v>41991</v>
      </c>
      <c r="K14" s="49" t="s">
        <v>280</v>
      </c>
      <c r="L14" s="49">
        <v>1</v>
      </c>
      <c r="M14" s="49" t="s">
        <v>281</v>
      </c>
      <c r="N14" s="76">
        <v>125</v>
      </c>
      <c r="O14" s="49">
        <v>63</v>
      </c>
      <c r="P14" s="49">
        <v>32</v>
      </c>
      <c r="Q14" s="49">
        <v>31</v>
      </c>
      <c r="R14" s="49"/>
      <c r="S14" s="49" t="s">
        <v>86</v>
      </c>
      <c r="T14" s="49" t="s">
        <v>58</v>
      </c>
      <c r="U14" s="49" t="s">
        <v>58</v>
      </c>
      <c r="V14" s="49" t="s">
        <v>58</v>
      </c>
      <c r="W14" s="49" t="s">
        <v>58</v>
      </c>
      <c r="X14" s="49">
        <f>4+71</f>
        <v>75</v>
      </c>
      <c r="Y14" s="49">
        <f>41+49</f>
        <v>90</v>
      </c>
      <c r="Z14" s="49">
        <f>76+39</f>
        <v>115</v>
      </c>
      <c r="AA14" s="49">
        <f>96+34</f>
        <v>130</v>
      </c>
      <c r="AB14" s="49">
        <f>102+35</f>
        <v>137</v>
      </c>
      <c r="AC14" s="74" t="e">
        <f t="shared" si="0"/>
        <v>#REF!</v>
      </c>
      <c r="AD14" s="70">
        <f>273.1+147.5+125.4+159.6</f>
        <v>705.6</v>
      </c>
      <c r="AE14" s="70" t="e">
        <f>AF14+#REF!</f>
        <v>#REF!</v>
      </c>
      <c r="AF14" s="70">
        <v>4115.7</v>
      </c>
      <c r="AG14" s="75" t="s">
        <v>10</v>
      </c>
      <c r="AH14" s="75" t="s">
        <v>12</v>
      </c>
    </row>
    <row r="15" spans="1:34" ht="41.95" customHeight="1" x14ac:dyDescent="0.3">
      <c r="A15" s="49">
        <v>13</v>
      </c>
      <c r="B15" s="76" t="s">
        <v>275</v>
      </c>
      <c r="C15" s="49" t="s">
        <v>64</v>
      </c>
      <c r="D15" s="49" t="s">
        <v>67</v>
      </c>
      <c r="E15" s="67" t="s">
        <v>278</v>
      </c>
      <c r="F15" s="49" t="s">
        <v>279</v>
      </c>
      <c r="G15" s="49" t="s">
        <v>28</v>
      </c>
      <c r="H15" s="49" t="s">
        <v>433</v>
      </c>
      <c r="I15" s="49" t="s">
        <v>79</v>
      </c>
      <c r="J15" s="68">
        <v>41991</v>
      </c>
      <c r="K15" s="49" t="s">
        <v>280</v>
      </c>
      <c r="L15" s="49">
        <v>1</v>
      </c>
      <c r="M15" s="49" t="s">
        <v>221</v>
      </c>
      <c r="N15" s="76">
        <v>128</v>
      </c>
      <c r="O15" s="49">
        <v>64</v>
      </c>
      <c r="P15" s="49">
        <v>32</v>
      </c>
      <c r="Q15" s="49">
        <v>32</v>
      </c>
      <c r="R15" s="49"/>
      <c r="S15" s="49" t="s">
        <v>86</v>
      </c>
      <c r="T15" s="49" t="s">
        <v>58</v>
      </c>
      <c r="U15" s="49" t="s">
        <v>58</v>
      </c>
      <c r="V15" s="49" t="s">
        <v>58</v>
      </c>
      <c r="W15" s="49" t="s">
        <v>58</v>
      </c>
      <c r="X15" s="49">
        <f>4+39</f>
        <v>43</v>
      </c>
      <c r="Y15" s="49">
        <f>16+33</f>
        <v>49</v>
      </c>
      <c r="Z15" s="49">
        <f>60+22</f>
        <v>82</v>
      </c>
      <c r="AA15" s="49">
        <f>84+19</f>
        <v>103</v>
      </c>
      <c r="AB15" s="49">
        <f>90+19</f>
        <v>109</v>
      </c>
      <c r="AC15" s="74" t="e">
        <f t="shared" si="0"/>
        <v>#REF!</v>
      </c>
      <c r="AD15" s="70">
        <v>534.20000000000005</v>
      </c>
      <c r="AE15" s="70" t="e">
        <f>AF15+#REF!</f>
        <v>#REF!</v>
      </c>
      <c r="AF15" s="70">
        <v>4186.6000000000004</v>
      </c>
      <c r="AG15" s="75" t="s">
        <v>10</v>
      </c>
      <c r="AH15" s="75" t="s">
        <v>12</v>
      </c>
    </row>
    <row r="16" spans="1:34" ht="49.5" customHeight="1" x14ac:dyDescent="0.3">
      <c r="A16" s="49">
        <v>14</v>
      </c>
      <c r="B16" s="76" t="s">
        <v>276</v>
      </c>
      <c r="C16" s="49" t="s">
        <v>64</v>
      </c>
      <c r="D16" s="49" t="s">
        <v>67</v>
      </c>
      <c r="E16" s="67" t="s">
        <v>310</v>
      </c>
      <c r="F16" s="49" t="s">
        <v>311</v>
      </c>
      <c r="G16" s="49" t="s">
        <v>28</v>
      </c>
      <c r="H16" s="49" t="s">
        <v>436</v>
      </c>
      <c r="I16" s="49" t="s">
        <v>418</v>
      </c>
      <c r="J16" s="68">
        <v>42009</v>
      </c>
      <c r="K16" s="49">
        <v>17</v>
      </c>
      <c r="L16" s="49">
        <v>1</v>
      </c>
      <c r="M16" s="73" t="s">
        <v>323</v>
      </c>
      <c r="N16" s="76">
        <v>169</v>
      </c>
      <c r="O16" s="49">
        <v>102</v>
      </c>
      <c r="P16" s="49">
        <v>33</v>
      </c>
      <c r="Q16" s="49">
        <v>34</v>
      </c>
      <c r="R16" s="49"/>
      <c r="S16" s="49">
        <v>0</v>
      </c>
      <c r="T16" s="49" t="s">
        <v>58</v>
      </c>
      <c r="U16" s="49" t="s">
        <v>58</v>
      </c>
      <c r="V16" s="49" t="s">
        <v>58</v>
      </c>
      <c r="W16" s="49" t="s">
        <v>58</v>
      </c>
      <c r="X16" s="49">
        <f>12+86</f>
        <v>98</v>
      </c>
      <c r="Y16" s="49">
        <f>55+69</f>
        <v>124</v>
      </c>
      <c r="Z16" s="49">
        <f>145+48</f>
        <v>193</v>
      </c>
      <c r="AA16" s="49">
        <f>167+46</f>
        <v>213</v>
      </c>
      <c r="AB16" s="49">
        <f>176+47</f>
        <v>223</v>
      </c>
      <c r="AC16" s="74" t="e">
        <f t="shared" si="0"/>
        <v>#REF!</v>
      </c>
      <c r="AD16" s="70">
        <v>35.6</v>
      </c>
      <c r="AE16" s="70" t="e">
        <f>AF16+#REF!</f>
        <v>#REF!</v>
      </c>
      <c r="AF16" s="70">
        <v>4827.8999999999996</v>
      </c>
      <c r="AG16" s="75" t="s">
        <v>10</v>
      </c>
      <c r="AH16" s="75" t="s">
        <v>12</v>
      </c>
    </row>
    <row r="17" spans="1:34" ht="49.5" customHeight="1" x14ac:dyDescent="0.3">
      <c r="A17" s="49">
        <v>15</v>
      </c>
      <c r="B17" s="76" t="s">
        <v>277</v>
      </c>
      <c r="C17" s="49" t="s">
        <v>64</v>
      </c>
      <c r="D17" s="49" t="s">
        <v>67</v>
      </c>
      <c r="E17" s="67" t="s">
        <v>320</v>
      </c>
      <c r="F17" s="49">
        <v>28</v>
      </c>
      <c r="G17" s="49" t="s">
        <v>28</v>
      </c>
      <c r="H17" s="49" t="s">
        <v>437</v>
      </c>
      <c r="I17" s="49" t="s">
        <v>418</v>
      </c>
      <c r="J17" s="68">
        <v>42088</v>
      </c>
      <c r="K17" s="49">
        <v>17</v>
      </c>
      <c r="L17" s="49">
        <v>1</v>
      </c>
      <c r="M17" s="73" t="s">
        <v>401</v>
      </c>
      <c r="N17" s="76">
        <v>143</v>
      </c>
      <c r="O17" s="49">
        <v>79</v>
      </c>
      <c r="P17" s="49">
        <v>32</v>
      </c>
      <c r="Q17" s="49">
        <v>15</v>
      </c>
      <c r="R17" s="49">
        <v>1</v>
      </c>
      <c r="S17" s="49">
        <v>0</v>
      </c>
      <c r="T17" s="49" t="s">
        <v>58</v>
      </c>
      <c r="U17" s="49" t="s">
        <v>58</v>
      </c>
      <c r="V17" s="49" t="s">
        <v>58</v>
      </c>
      <c r="W17" s="49" t="s">
        <v>58</v>
      </c>
      <c r="X17" s="49"/>
      <c r="Y17" s="49">
        <v>2</v>
      </c>
      <c r="Z17" s="49">
        <f>41+33</f>
        <v>74</v>
      </c>
      <c r="AA17" s="49">
        <f>72+24</f>
        <v>96</v>
      </c>
      <c r="AB17" s="49">
        <f>102+29</f>
        <v>131</v>
      </c>
      <c r="AC17" s="74" t="e">
        <f t="shared" si="0"/>
        <v>#REF!</v>
      </c>
      <c r="AD17" s="70">
        <f>156.6+1236+102</f>
        <v>1494.6</v>
      </c>
      <c r="AE17" s="70" t="e">
        <f>AF17+#REF!-28</f>
        <v>#REF!</v>
      </c>
      <c r="AF17" s="70">
        <v>4353.8</v>
      </c>
      <c r="AG17" s="75" t="s">
        <v>10</v>
      </c>
      <c r="AH17" s="75" t="s">
        <v>12</v>
      </c>
    </row>
    <row r="18" spans="1:34" ht="41.95" customHeight="1" x14ac:dyDescent="0.3">
      <c r="A18" s="49">
        <v>16</v>
      </c>
      <c r="B18" s="76" t="s">
        <v>369</v>
      </c>
      <c r="C18" s="49" t="s">
        <v>64</v>
      </c>
      <c r="D18" s="49" t="s">
        <v>67</v>
      </c>
      <c r="E18" s="67" t="s">
        <v>320</v>
      </c>
      <c r="F18" s="49" t="s">
        <v>370</v>
      </c>
      <c r="G18" s="49" t="s">
        <v>28</v>
      </c>
      <c r="H18" s="49" t="s">
        <v>433</v>
      </c>
      <c r="I18" s="49" t="s">
        <v>79</v>
      </c>
      <c r="J18" s="68">
        <v>42291</v>
      </c>
      <c r="K18" s="49" t="s">
        <v>371</v>
      </c>
      <c r="L18" s="49">
        <v>1</v>
      </c>
      <c r="M18" s="49" t="s">
        <v>372</v>
      </c>
      <c r="N18" s="76">
        <v>96</v>
      </c>
      <c r="O18" s="49">
        <v>60</v>
      </c>
      <c r="P18" s="49">
        <v>32</v>
      </c>
      <c r="Q18" s="49">
        <v>2</v>
      </c>
      <c r="R18" s="49">
        <v>2</v>
      </c>
      <c r="S18" s="49" t="s">
        <v>86</v>
      </c>
      <c r="T18" s="49" t="s">
        <v>58</v>
      </c>
      <c r="U18" s="49" t="s">
        <v>58</v>
      </c>
      <c r="V18" s="49" t="s">
        <v>58</v>
      </c>
      <c r="W18" s="49" t="s">
        <v>58</v>
      </c>
      <c r="X18" s="49" t="s">
        <v>58</v>
      </c>
      <c r="Y18" s="49" t="s">
        <v>58</v>
      </c>
      <c r="Z18" s="49" t="s">
        <v>280</v>
      </c>
      <c r="AA18" s="49">
        <f>30+24</f>
        <v>54</v>
      </c>
      <c r="AB18" s="49">
        <f>49+18</f>
        <v>67</v>
      </c>
      <c r="AC18" s="74" t="e">
        <f t="shared" si="0"/>
        <v>#REF!</v>
      </c>
      <c r="AD18" s="70">
        <f>397.8+104.4+138.6+150+75.2+75.2+32.5</f>
        <v>973.70000000000016</v>
      </c>
      <c r="AE18" s="70" t="e">
        <f>AF18+#REF!</f>
        <v>#REF!</v>
      </c>
      <c r="AF18" s="70">
        <v>2855.2</v>
      </c>
      <c r="AG18" s="75" t="s">
        <v>10</v>
      </c>
      <c r="AH18" s="75" t="s">
        <v>12</v>
      </c>
    </row>
    <row r="19" spans="1:34" ht="41.95" customHeight="1" x14ac:dyDescent="0.3">
      <c r="A19" s="49">
        <v>17</v>
      </c>
      <c r="B19" s="76" t="s">
        <v>412</v>
      </c>
      <c r="C19" s="49" t="s">
        <v>423</v>
      </c>
      <c r="D19" s="49" t="s">
        <v>67</v>
      </c>
      <c r="E19" s="67" t="s">
        <v>413</v>
      </c>
      <c r="F19" s="49">
        <v>18</v>
      </c>
      <c r="G19" s="49" t="s">
        <v>28</v>
      </c>
      <c r="H19" s="49" t="s">
        <v>420</v>
      </c>
      <c r="I19" s="49" t="s">
        <v>415</v>
      </c>
      <c r="J19" s="68">
        <v>42643</v>
      </c>
      <c r="K19" s="49" t="s">
        <v>416</v>
      </c>
      <c r="L19" s="49">
        <v>4</v>
      </c>
      <c r="M19" s="49" t="s">
        <v>417</v>
      </c>
      <c r="N19" s="76">
        <v>356</v>
      </c>
      <c r="O19" s="49">
        <v>296</v>
      </c>
      <c r="P19" s="49">
        <v>60</v>
      </c>
      <c r="Q19" s="49" t="s">
        <v>58</v>
      </c>
      <c r="R19" s="49" t="s">
        <v>58</v>
      </c>
      <c r="S19" s="73" t="s">
        <v>58</v>
      </c>
      <c r="T19" s="73" t="s">
        <v>58</v>
      </c>
      <c r="U19" s="73" t="s">
        <v>58</v>
      </c>
      <c r="V19" s="73" t="s">
        <v>58</v>
      </c>
      <c r="W19" s="73" t="s">
        <v>58</v>
      </c>
      <c r="X19" s="73" t="s">
        <v>58</v>
      </c>
      <c r="Y19" s="73" t="s">
        <v>58</v>
      </c>
      <c r="Z19" s="73" t="s">
        <v>58</v>
      </c>
      <c r="AA19" s="73" t="s">
        <v>58</v>
      </c>
      <c r="AB19" s="49" t="s">
        <v>58</v>
      </c>
      <c r="AC19" s="74">
        <f t="shared" si="0"/>
        <v>13108.9</v>
      </c>
      <c r="AD19" s="70">
        <v>0</v>
      </c>
      <c r="AE19" s="70">
        <v>13108.9</v>
      </c>
      <c r="AF19" s="70">
        <v>8420</v>
      </c>
      <c r="AG19" s="74" t="s">
        <v>10</v>
      </c>
      <c r="AH19" s="75" t="s">
        <v>12</v>
      </c>
    </row>
    <row r="20" spans="1:34" ht="41.95" customHeight="1" x14ac:dyDescent="0.3">
      <c r="A20" s="49">
        <v>18</v>
      </c>
      <c r="B20" s="76" t="s">
        <v>421</v>
      </c>
      <c r="C20" s="49" t="s">
        <v>423</v>
      </c>
      <c r="D20" s="49" t="s">
        <v>67</v>
      </c>
      <c r="E20" s="67" t="s">
        <v>424</v>
      </c>
      <c r="F20" s="49">
        <v>21</v>
      </c>
      <c r="G20" s="49" t="s">
        <v>28</v>
      </c>
      <c r="H20" s="49" t="s">
        <v>420</v>
      </c>
      <c r="I20" s="49" t="s">
        <v>415</v>
      </c>
      <c r="J20" s="68">
        <v>42699</v>
      </c>
      <c r="K20" s="49">
        <v>17</v>
      </c>
      <c r="L20" s="49">
        <v>1</v>
      </c>
      <c r="M20" s="49" t="s">
        <v>426</v>
      </c>
      <c r="N20" s="76">
        <v>119</v>
      </c>
      <c r="O20" s="49">
        <v>68</v>
      </c>
      <c r="P20" s="49">
        <v>34</v>
      </c>
      <c r="Q20" s="49">
        <v>17</v>
      </c>
      <c r="R20" s="49" t="s">
        <v>58</v>
      </c>
      <c r="S20" s="73" t="s">
        <v>58</v>
      </c>
      <c r="T20" s="73" t="s">
        <v>58</v>
      </c>
      <c r="U20" s="73" t="s">
        <v>58</v>
      </c>
      <c r="V20" s="73" t="s">
        <v>58</v>
      </c>
      <c r="W20" s="73" t="s">
        <v>58</v>
      </c>
      <c r="X20" s="73" t="s">
        <v>58</v>
      </c>
      <c r="Y20" s="73" t="s">
        <v>58</v>
      </c>
      <c r="Z20" s="73" t="s">
        <v>58</v>
      </c>
      <c r="AA20" s="73" t="s">
        <v>58</v>
      </c>
      <c r="AB20" s="49" t="s">
        <v>58</v>
      </c>
      <c r="AC20" s="74">
        <f t="shared" si="0"/>
        <v>6348.3</v>
      </c>
      <c r="AD20" s="70">
        <v>0</v>
      </c>
      <c r="AE20" s="70">
        <v>6348.3</v>
      </c>
      <c r="AF20" s="70">
        <v>3138.9</v>
      </c>
      <c r="AG20" s="74" t="s">
        <v>10</v>
      </c>
      <c r="AH20" s="75" t="s">
        <v>12</v>
      </c>
    </row>
    <row r="21" spans="1:34" ht="41.95" customHeight="1" x14ac:dyDescent="0.3">
      <c r="A21" s="49">
        <v>19</v>
      </c>
      <c r="B21" s="76" t="s">
        <v>422</v>
      </c>
      <c r="C21" s="49" t="s">
        <v>423</v>
      </c>
      <c r="D21" s="49" t="s">
        <v>67</v>
      </c>
      <c r="E21" s="67" t="s">
        <v>425</v>
      </c>
      <c r="F21" s="49">
        <v>11</v>
      </c>
      <c r="G21" s="49" t="s">
        <v>28</v>
      </c>
      <c r="H21" s="49" t="s">
        <v>420</v>
      </c>
      <c r="I21" s="49" t="s">
        <v>415</v>
      </c>
      <c r="J21" s="68">
        <v>42732</v>
      </c>
      <c r="K21" s="49">
        <v>10</v>
      </c>
      <c r="L21" s="49">
        <v>4</v>
      </c>
      <c r="M21" s="49" t="s">
        <v>427</v>
      </c>
      <c r="N21" s="76">
        <v>436</v>
      </c>
      <c r="O21" s="49">
        <v>416</v>
      </c>
      <c r="P21" s="49">
        <v>20</v>
      </c>
      <c r="Q21" s="49" t="s">
        <v>58</v>
      </c>
      <c r="R21" s="49" t="s">
        <v>58</v>
      </c>
      <c r="S21" s="73" t="s">
        <v>58</v>
      </c>
      <c r="T21" s="73" t="s">
        <v>58</v>
      </c>
      <c r="U21" s="73" t="s">
        <v>58</v>
      </c>
      <c r="V21" s="73" t="s">
        <v>58</v>
      </c>
      <c r="W21" s="73" t="s">
        <v>58</v>
      </c>
      <c r="X21" s="73" t="s">
        <v>58</v>
      </c>
      <c r="Y21" s="73" t="s">
        <v>58</v>
      </c>
      <c r="Z21" s="73" t="s">
        <v>58</v>
      </c>
      <c r="AA21" s="73" t="s">
        <v>58</v>
      </c>
      <c r="AB21" s="49" t="s">
        <v>58</v>
      </c>
      <c r="AC21" s="74">
        <f>AD21+AE21</f>
        <v>12879.300000000001</v>
      </c>
      <c r="AD21" s="70">
        <v>0</v>
      </c>
      <c r="AE21" s="70">
        <f>12903.6-24.3</f>
        <v>12879.300000000001</v>
      </c>
      <c r="AF21" s="70">
        <v>6632.6</v>
      </c>
      <c r="AG21" s="74" t="s">
        <v>10</v>
      </c>
      <c r="AH21" s="75" t="s">
        <v>12</v>
      </c>
    </row>
    <row r="22" spans="1:34" ht="41.95" customHeight="1" x14ac:dyDescent="0.3">
      <c r="A22" s="49">
        <v>20</v>
      </c>
      <c r="B22" s="76" t="s">
        <v>446</v>
      </c>
      <c r="C22" s="49"/>
      <c r="D22" s="49" t="s">
        <v>67</v>
      </c>
      <c r="E22" s="67" t="s">
        <v>447</v>
      </c>
      <c r="F22" s="49" t="s">
        <v>448</v>
      </c>
      <c r="G22" s="49" t="s">
        <v>28</v>
      </c>
      <c r="H22" s="49" t="s">
        <v>449</v>
      </c>
      <c r="I22" s="49" t="s">
        <v>414</v>
      </c>
      <c r="J22" s="68">
        <v>42734</v>
      </c>
      <c r="K22" s="49">
        <v>17</v>
      </c>
      <c r="L22" s="49">
        <v>1</v>
      </c>
      <c r="M22" s="49" t="s">
        <v>450</v>
      </c>
      <c r="N22" s="76">
        <v>151</v>
      </c>
      <c r="O22" s="49">
        <v>37</v>
      </c>
      <c r="P22" s="49">
        <v>64</v>
      </c>
      <c r="Q22" s="49">
        <v>48</v>
      </c>
      <c r="R22" s="49">
        <v>2</v>
      </c>
      <c r="S22" s="73"/>
      <c r="T22" s="73"/>
      <c r="U22" s="73"/>
      <c r="V22" s="73"/>
      <c r="W22" s="73"/>
      <c r="X22" s="73"/>
      <c r="Y22" s="73"/>
      <c r="Z22" s="73"/>
      <c r="AA22" s="73"/>
      <c r="AB22" s="49"/>
      <c r="AC22" s="74">
        <f>AD22+AE22</f>
        <v>8973.9</v>
      </c>
      <c r="AD22" s="70">
        <v>478.3</v>
      </c>
      <c r="AE22" s="70">
        <v>8495.6</v>
      </c>
      <c r="AF22" s="70"/>
      <c r="AG22" s="74"/>
      <c r="AH22" s="75"/>
    </row>
    <row r="23" spans="1:34" s="59" customFormat="1" ht="19.600000000000001" customHeight="1" x14ac:dyDescent="0.3">
      <c r="A23" s="59">
        <v>19</v>
      </c>
      <c r="B23" s="427" t="s">
        <v>438</v>
      </c>
      <c r="C23" s="427"/>
      <c r="D23" s="427"/>
      <c r="E23" s="427"/>
      <c r="F23" s="427"/>
      <c r="J23" s="61"/>
      <c r="L23" s="62">
        <f>SUM(L3:L22)</f>
        <v>38</v>
      </c>
      <c r="M23" s="62"/>
      <c r="N23" s="62">
        <f>SUM(N3:N22)</f>
        <v>2876</v>
      </c>
      <c r="O23" s="62">
        <f t="shared" ref="O23:AB23" si="1">SUM(O3:O22)</f>
        <v>1691</v>
      </c>
      <c r="P23" s="62">
        <f t="shared" si="1"/>
        <v>704</v>
      </c>
      <c r="Q23" s="62">
        <f t="shared" si="1"/>
        <v>448</v>
      </c>
      <c r="R23" s="62">
        <f t="shared" si="1"/>
        <v>26</v>
      </c>
      <c r="S23" s="62">
        <f t="shared" si="1"/>
        <v>961</v>
      </c>
      <c r="T23" s="62">
        <f t="shared" si="1"/>
        <v>1413</v>
      </c>
      <c r="U23" s="62">
        <f t="shared" si="1"/>
        <v>1703</v>
      </c>
      <c r="V23" s="62">
        <f t="shared" si="1"/>
        <v>1768</v>
      </c>
      <c r="W23" s="62">
        <f t="shared" si="1"/>
        <v>1785</v>
      </c>
      <c r="X23" s="62">
        <f t="shared" si="1"/>
        <v>2419</v>
      </c>
      <c r="Y23" s="62">
        <f t="shared" si="1"/>
        <v>2494</v>
      </c>
      <c r="Z23" s="62">
        <f t="shared" si="1"/>
        <v>2733</v>
      </c>
      <c r="AA23" s="62">
        <f t="shared" si="1"/>
        <v>2938</v>
      </c>
      <c r="AB23" s="62">
        <f t="shared" si="1"/>
        <v>3027</v>
      </c>
      <c r="AC23" s="62" t="e">
        <f t="shared" ref="AC23:AH23" si="2">SUM(AC3:AC22)</f>
        <v>#REF!</v>
      </c>
      <c r="AD23" s="62">
        <f t="shared" si="2"/>
        <v>11360.300000000003</v>
      </c>
      <c r="AE23" s="62" t="e">
        <f t="shared" si="2"/>
        <v>#REF!</v>
      </c>
      <c r="AF23" s="62">
        <f t="shared" si="2"/>
        <v>81172.600000000006</v>
      </c>
      <c r="AG23" s="62">
        <f t="shared" si="2"/>
        <v>0</v>
      </c>
      <c r="AH23" s="62">
        <f t="shared" si="2"/>
        <v>0</v>
      </c>
    </row>
    <row r="24" spans="1:34" s="60" customFormat="1" ht="24.75" hidden="1" customHeight="1" x14ac:dyDescent="0.3">
      <c r="A24" s="60">
        <v>16</v>
      </c>
      <c r="B24" s="428" t="s">
        <v>419</v>
      </c>
      <c r="C24" s="428"/>
      <c r="D24" s="428"/>
      <c r="E24" s="428"/>
      <c r="F24" s="428"/>
      <c r="J24" s="63"/>
      <c r="L24" s="60">
        <f>SUM(L3:L18)</f>
        <v>28</v>
      </c>
      <c r="O24" s="60">
        <f t="shared" ref="O24:X24" si="3">SUM(O3:O13)</f>
        <v>506</v>
      </c>
      <c r="P24" s="60">
        <f t="shared" si="3"/>
        <v>365</v>
      </c>
      <c r="Q24" s="60">
        <f t="shared" si="3"/>
        <v>269</v>
      </c>
      <c r="R24" s="60">
        <f t="shared" si="3"/>
        <v>21</v>
      </c>
      <c r="T24" s="60">
        <f t="shared" si="3"/>
        <v>1413</v>
      </c>
      <c r="U24" s="60">
        <f t="shared" si="3"/>
        <v>1703</v>
      </c>
      <c r="V24" s="60">
        <f t="shared" si="3"/>
        <v>1768</v>
      </c>
      <c r="W24" s="60">
        <f t="shared" si="3"/>
        <v>1785</v>
      </c>
      <c r="X24" s="60">
        <f t="shared" si="3"/>
        <v>2203</v>
      </c>
      <c r="AD24" s="64">
        <f>SUM(AD3:AD18)</f>
        <v>10882.000000000004</v>
      </c>
      <c r="AE24" s="64" t="e">
        <f>SUM(AE3:AE18)</f>
        <v>#REF!</v>
      </c>
      <c r="AF24" s="64">
        <f>SUM(AF3:AF18)</f>
        <v>62981.100000000006</v>
      </c>
      <c r="AG24" s="64">
        <f>SUM(AG3:AG18)</f>
        <v>0</v>
      </c>
      <c r="AH24" s="64">
        <f>SUM(AH3:AH18)</f>
        <v>0</v>
      </c>
    </row>
    <row r="28" spans="1:34" x14ac:dyDescent="0.3">
      <c r="AD28" s="58"/>
      <c r="AE28" s="66"/>
    </row>
    <row r="35" spans="3:34" s="15" customFormat="1" x14ac:dyDescent="0.3">
      <c r="C35" s="1"/>
      <c r="D35" s="1"/>
      <c r="E35" s="1"/>
      <c r="F35" s="1"/>
      <c r="G35" s="1"/>
      <c r="H35" s="1"/>
      <c r="I35" s="1"/>
      <c r="J35" s="65"/>
      <c r="K35" s="1"/>
      <c r="L35" s="1"/>
      <c r="M35" s="1"/>
      <c r="O35" s="1"/>
      <c r="P35" s="1"/>
      <c r="Q35" s="1"/>
      <c r="R35" s="1"/>
      <c r="AG35" s="1"/>
      <c r="AH35" s="1"/>
    </row>
  </sheetData>
  <mergeCells count="35">
    <mergeCell ref="H1:H2"/>
    <mergeCell ref="I1:I2"/>
    <mergeCell ref="J1:J2"/>
    <mergeCell ref="A1:A2"/>
    <mergeCell ref="B1:B2"/>
    <mergeCell ref="C1:C2"/>
    <mergeCell ref="D1:D2"/>
    <mergeCell ref="E1:F1"/>
    <mergeCell ref="G1:G2"/>
    <mergeCell ref="T1:T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B23:F23"/>
    <mergeCell ref="B24:F24"/>
    <mergeCell ref="AG1:AG2"/>
    <mergeCell ref="AH1:AH2"/>
    <mergeCell ref="AF1:AF2"/>
    <mergeCell ref="AA1:AA2"/>
    <mergeCell ref="AB1:AB2"/>
    <mergeCell ref="AC1:AC2"/>
    <mergeCell ref="AD1:AD2"/>
    <mergeCell ref="AE1:AE2"/>
    <mergeCell ref="U1:U2"/>
    <mergeCell ref="V1:V2"/>
    <mergeCell ref="W1:W2"/>
    <mergeCell ref="X1:X2"/>
    <mergeCell ref="Y1:Y2"/>
    <mergeCell ref="Z1:Z2"/>
  </mergeCells>
  <printOptions horizontalCentered="1"/>
  <pageMargins left="3.937007874015748E-2" right="3.937007874015748E-2" top="0.15748031496062992" bottom="0.15748031496062992" header="0.31496062992125984" footer="0.31496062992125984"/>
  <pageSetup paperSize="9" scale="61" fitToWidth="5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Q36"/>
  <sheetViews>
    <sheetView zoomScale="40" zoomScaleNormal="40" zoomScaleSheetLayoutView="40" workbookViewId="0">
      <pane xSplit="2" ySplit="3" topLeftCell="C13" activePane="bottomRight" state="frozen"/>
      <selection pane="topRight" activeCell="C1" sqref="C1"/>
      <selection pane="bottomLeft" activeCell="A3" sqref="A3"/>
      <selection pane="bottomRight" activeCell="D35" sqref="D35"/>
    </sheetView>
  </sheetViews>
  <sheetFormatPr defaultColWidth="9.33203125" defaultRowHeight="30.7" x14ac:dyDescent="0.3"/>
  <cols>
    <col min="1" max="1" width="10.6640625" style="89" customWidth="1"/>
    <col min="2" max="2" width="37.33203125" style="90" customWidth="1"/>
    <col min="3" max="3" width="59" style="89" customWidth="1"/>
    <col min="4" max="4" width="26.6640625" style="89" customWidth="1"/>
    <col min="5" max="16384" width="9.33203125" style="89"/>
  </cols>
  <sheetData>
    <row r="1" spans="1:4" ht="69.05" customHeight="1" thickBot="1" x14ac:dyDescent="0.35"/>
    <row r="2" spans="1:4" ht="23.35" customHeight="1" x14ac:dyDescent="0.3">
      <c r="A2" s="496" t="s">
        <v>76</v>
      </c>
      <c r="B2" s="498" t="s">
        <v>75</v>
      </c>
      <c r="C2" s="500" t="s">
        <v>65</v>
      </c>
      <c r="D2" s="501"/>
    </row>
    <row r="3" spans="1:4" ht="72.8" customHeight="1" thickBot="1" x14ac:dyDescent="0.35">
      <c r="A3" s="497"/>
      <c r="B3" s="499"/>
      <c r="C3" s="91" t="s">
        <v>26</v>
      </c>
      <c r="D3" s="92" t="s">
        <v>27</v>
      </c>
    </row>
    <row r="4" spans="1:4" ht="51.85" customHeight="1" x14ac:dyDescent="0.3">
      <c r="A4" s="93">
        <v>1</v>
      </c>
      <c r="B4" s="94" t="s">
        <v>31</v>
      </c>
      <c r="C4" s="95" t="s">
        <v>29</v>
      </c>
      <c r="D4" s="96" t="s">
        <v>30</v>
      </c>
    </row>
    <row r="5" spans="1:4" ht="51.85" customHeight="1" x14ac:dyDescent="0.3">
      <c r="A5" s="97">
        <v>2</v>
      </c>
      <c r="B5" s="98" t="s">
        <v>36</v>
      </c>
      <c r="C5" s="99" t="s">
        <v>29</v>
      </c>
      <c r="D5" s="100" t="s">
        <v>35</v>
      </c>
    </row>
    <row r="6" spans="1:4" ht="51.85" customHeight="1" x14ac:dyDescent="0.3">
      <c r="A6" s="97">
        <v>3</v>
      </c>
      <c r="B6" s="98" t="s">
        <v>1</v>
      </c>
      <c r="C6" s="99" t="s">
        <v>37</v>
      </c>
      <c r="D6" s="100">
        <v>5</v>
      </c>
    </row>
    <row r="7" spans="1:4" ht="51.85" customHeight="1" x14ac:dyDescent="0.3">
      <c r="A7" s="97">
        <v>4</v>
      </c>
      <c r="B7" s="98" t="s">
        <v>40</v>
      </c>
      <c r="C7" s="99" t="s">
        <v>39</v>
      </c>
      <c r="D7" s="100">
        <v>51</v>
      </c>
    </row>
    <row r="8" spans="1:4" ht="51.85" customHeight="1" x14ac:dyDescent="0.3">
      <c r="A8" s="97">
        <v>5</v>
      </c>
      <c r="B8" s="98" t="s">
        <v>0</v>
      </c>
      <c r="C8" s="99" t="s">
        <v>42</v>
      </c>
      <c r="D8" s="100">
        <v>8</v>
      </c>
    </row>
    <row r="9" spans="1:4" ht="51.85" customHeight="1" x14ac:dyDescent="0.3">
      <c r="A9" s="97">
        <v>6</v>
      </c>
      <c r="B9" s="101" t="s">
        <v>4</v>
      </c>
      <c r="C9" s="99" t="s">
        <v>43</v>
      </c>
      <c r="D9" s="100">
        <v>19</v>
      </c>
    </row>
    <row r="10" spans="1:4" ht="51.85" customHeight="1" x14ac:dyDescent="0.3">
      <c r="A10" s="97">
        <v>7</v>
      </c>
      <c r="B10" s="98" t="s">
        <v>3</v>
      </c>
      <c r="C10" s="99" t="s">
        <v>44</v>
      </c>
      <c r="D10" s="100">
        <v>87</v>
      </c>
    </row>
    <row r="11" spans="1:4" ht="51.85" customHeight="1" x14ac:dyDescent="0.3">
      <c r="A11" s="97">
        <v>8</v>
      </c>
      <c r="B11" s="101" t="s">
        <v>47</v>
      </c>
      <c r="C11" s="99" t="s">
        <v>45</v>
      </c>
      <c r="D11" s="100" t="s">
        <v>46</v>
      </c>
    </row>
    <row r="12" spans="1:4" ht="51.85" customHeight="1" x14ac:dyDescent="0.3">
      <c r="A12" s="97">
        <v>9</v>
      </c>
      <c r="B12" s="98" t="s">
        <v>6</v>
      </c>
      <c r="C12" s="99" t="s">
        <v>48</v>
      </c>
      <c r="D12" s="100">
        <v>67</v>
      </c>
    </row>
    <row r="13" spans="1:4" ht="51.85" customHeight="1" x14ac:dyDescent="0.3">
      <c r="A13" s="97">
        <v>10</v>
      </c>
      <c r="B13" s="98" t="s">
        <v>59</v>
      </c>
      <c r="C13" s="99" t="s">
        <v>44</v>
      </c>
      <c r="D13" s="100" t="s">
        <v>60</v>
      </c>
    </row>
    <row r="14" spans="1:4" ht="51.85" customHeight="1" x14ac:dyDescent="0.3">
      <c r="A14" s="97">
        <v>11</v>
      </c>
      <c r="B14" s="98" t="s">
        <v>68</v>
      </c>
      <c r="C14" s="99" t="s">
        <v>42</v>
      </c>
      <c r="D14" s="100">
        <v>10</v>
      </c>
    </row>
    <row r="15" spans="1:4" ht="51.85" customHeight="1" x14ac:dyDescent="0.3">
      <c r="A15" s="97">
        <v>12</v>
      </c>
      <c r="B15" s="98" t="s">
        <v>274</v>
      </c>
      <c r="C15" s="99" t="s">
        <v>278</v>
      </c>
      <c r="D15" s="100">
        <v>76</v>
      </c>
    </row>
    <row r="16" spans="1:4" ht="51.85" customHeight="1" x14ac:dyDescent="0.3">
      <c r="A16" s="97">
        <v>13</v>
      </c>
      <c r="B16" s="98" t="s">
        <v>275</v>
      </c>
      <c r="C16" s="99" t="s">
        <v>278</v>
      </c>
      <c r="D16" s="100" t="s">
        <v>279</v>
      </c>
    </row>
    <row r="17" spans="1:95" ht="51.85" customHeight="1" x14ac:dyDescent="0.3">
      <c r="A17" s="97">
        <v>14</v>
      </c>
      <c r="B17" s="98" t="s">
        <v>276</v>
      </c>
      <c r="C17" s="99" t="s">
        <v>310</v>
      </c>
      <c r="D17" s="100" t="s">
        <v>311</v>
      </c>
    </row>
    <row r="18" spans="1:95" ht="51.85" customHeight="1" x14ac:dyDescent="0.3">
      <c r="A18" s="97">
        <v>15</v>
      </c>
      <c r="B18" s="98" t="s">
        <v>277</v>
      </c>
      <c r="C18" s="99" t="s">
        <v>320</v>
      </c>
      <c r="D18" s="100">
        <v>28</v>
      </c>
    </row>
    <row r="19" spans="1:95" ht="51.85" customHeight="1" x14ac:dyDescent="0.3">
      <c r="A19" s="97">
        <v>16</v>
      </c>
      <c r="B19" s="98" t="s">
        <v>369</v>
      </c>
      <c r="C19" s="99" t="s">
        <v>320</v>
      </c>
      <c r="D19" s="100" t="s">
        <v>370</v>
      </c>
    </row>
    <row r="20" spans="1:95" ht="51.85" customHeight="1" x14ac:dyDescent="0.3">
      <c r="A20" s="97">
        <v>17</v>
      </c>
      <c r="B20" s="98" t="s">
        <v>412</v>
      </c>
      <c r="C20" s="99" t="s">
        <v>413</v>
      </c>
      <c r="D20" s="100">
        <v>18</v>
      </c>
    </row>
    <row r="21" spans="1:95" ht="51.85" customHeight="1" x14ac:dyDescent="0.3">
      <c r="A21" s="97">
        <v>18</v>
      </c>
      <c r="B21" s="98" t="s">
        <v>421</v>
      </c>
      <c r="C21" s="99" t="s">
        <v>424</v>
      </c>
      <c r="D21" s="100">
        <v>21</v>
      </c>
    </row>
    <row r="22" spans="1:95" ht="51.85" customHeight="1" x14ac:dyDescent="0.3">
      <c r="A22" s="97">
        <v>19</v>
      </c>
      <c r="B22" s="98" t="s">
        <v>422</v>
      </c>
      <c r="C22" s="99" t="s">
        <v>425</v>
      </c>
      <c r="D22" s="100">
        <v>11</v>
      </c>
    </row>
    <row r="23" spans="1:95" ht="51.85" customHeight="1" x14ac:dyDescent="0.3">
      <c r="A23" s="97">
        <v>20</v>
      </c>
      <c r="B23" s="98" t="s">
        <v>446</v>
      </c>
      <c r="C23" s="99" t="s">
        <v>447</v>
      </c>
      <c r="D23" s="100" t="s">
        <v>448</v>
      </c>
    </row>
    <row r="24" spans="1:95" ht="51.85" customHeight="1" x14ac:dyDescent="0.3">
      <c r="A24" s="97">
        <v>21</v>
      </c>
      <c r="B24" s="98" t="s">
        <v>451</v>
      </c>
      <c r="C24" s="99" t="s">
        <v>447</v>
      </c>
      <c r="D24" s="100" t="s">
        <v>452</v>
      </c>
    </row>
    <row r="25" spans="1:95" ht="51.85" customHeight="1" x14ac:dyDescent="0.3">
      <c r="A25" s="97">
        <v>22</v>
      </c>
      <c r="B25" s="102" t="s">
        <v>454</v>
      </c>
      <c r="C25" s="99" t="s">
        <v>447</v>
      </c>
      <c r="D25" s="100" t="s">
        <v>46</v>
      </c>
    </row>
    <row r="26" spans="1:95" ht="51.85" customHeight="1" x14ac:dyDescent="0.3">
      <c r="A26" s="97">
        <v>23</v>
      </c>
      <c r="B26" s="102" t="s">
        <v>455</v>
      </c>
      <c r="C26" s="99" t="s">
        <v>447</v>
      </c>
      <c r="D26" s="103" t="s">
        <v>456</v>
      </c>
    </row>
    <row r="27" spans="1:95" ht="65.599999999999994" customHeight="1" x14ac:dyDescent="0.3">
      <c r="A27" s="151">
        <v>24</v>
      </c>
      <c r="B27" s="98" t="s">
        <v>457</v>
      </c>
      <c r="C27" s="99" t="s">
        <v>425</v>
      </c>
      <c r="D27" s="151">
        <v>13</v>
      </c>
    </row>
    <row r="28" spans="1:95" ht="45.55" customHeight="1" x14ac:dyDescent="0.3">
      <c r="A28" s="151">
        <v>25</v>
      </c>
      <c r="B28" s="98" t="s">
        <v>466</v>
      </c>
      <c r="C28" s="99" t="s">
        <v>425</v>
      </c>
      <c r="D28" s="151">
        <v>15</v>
      </c>
    </row>
    <row r="29" spans="1:95" ht="48.7" customHeight="1" x14ac:dyDescent="0.3">
      <c r="A29" s="151">
        <v>26</v>
      </c>
      <c r="B29" s="98" t="s">
        <v>562</v>
      </c>
      <c r="C29" s="99" t="s">
        <v>617</v>
      </c>
      <c r="D29" s="151">
        <v>48</v>
      </c>
    </row>
    <row r="30" spans="1:95" ht="44.15" customHeight="1" x14ac:dyDescent="0.5">
      <c r="A30" s="152">
        <v>27</v>
      </c>
      <c r="B30" s="98" t="s">
        <v>563</v>
      </c>
      <c r="C30" s="99" t="s">
        <v>424</v>
      </c>
      <c r="D30" s="151">
        <v>3</v>
      </c>
    </row>
    <row r="31" spans="1:95" s="90" customFormat="1" x14ac:dyDescent="0.55000000000000004">
      <c r="A31" s="153">
        <v>28</v>
      </c>
      <c r="B31" s="155" t="s">
        <v>618</v>
      </c>
      <c r="C31" s="157" t="s">
        <v>413</v>
      </c>
      <c r="D31" s="158">
        <v>14</v>
      </c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  <c r="BS31" s="89"/>
      <c r="BT31" s="89"/>
      <c r="BU31" s="89"/>
      <c r="BV31" s="89"/>
      <c r="BW31" s="89"/>
      <c r="BX31" s="89"/>
      <c r="BY31" s="89"/>
      <c r="BZ31" s="89"/>
      <c r="CA31" s="89"/>
      <c r="CB31" s="89"/>
      <c r="CC31" s="89"/>
      <c r="CD31" s="89"/>
      <c r="CE31" s="89"/>
      <c r="CF31" s="89"/>
      <c r="CG31" s="89"/>
      <c r="CH31" s="89"/>
      <c r="CI31" s="89"/>
      <c r="CJ31" s="89"/>
      <c r="CK31" s="89"/>
      <c r="CL31" s="89"/>
      <c r="CM31" s="89"/>
      <c r="CN31" s="89"/>
      <c r="CO31" s="89"/>
      <c r="CP31" s="89"/>
      <c r="CQ31" s="89"/>
    </row>
    <row r="32" spans="1:95" s="90" customFormat="1" x14ac:dyDescent="0.55000000000000004">
      <c r="A32" s="153">
        <v>29</v>
      </c>
      <c r="B32" s="155" t="s">
        <v>638</v>
      </c>
      <c r="C32" s="157" t="s">
        <v>671</v>
      </c>
      <c r="D32" s="158">
        <v>32</v>
      </c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89"/>
      <c r="CA32" s="89"/>
      <c r="CB32" s="89"/>
      <c r="CC32" s="89"/>
      <c r="CD32" s="89"/>
      <c r="CE32" s="89"/>
      <c r="CF32" s="89"/>
      <c r="CG32" s="89"/>
      <c r="CH32" s="89"/>
      <c r="CI32" s="89"/>
      <c r="CJ32" s="89"/>
      <c r="CK32" s="89"/>
      <c r="CL32" s="89"/>
      <c r="CM32" s="89"/>
      <c r="CN32" s="89"/>
      <c r="CO32" s="89"/>
      <c r="CP32" s="89"/>
      <c r="CQ32" s="89"/>
    </row>
    <row r="33" spans="1:95" s="90" customFormat="1" x14ac:dyDescent="0.55000000000000004">
      <c r="A33" s="153">
        <v>30</v>
      </c>
      <c r="B33" s="155" t="s">
        <v>639</v>
      </c>
      <c r="C33" s="157" t="s">
        <v>39</v>
      </c>
      <c r="D33" s="158" t="s">
        <v>641</v>
      </c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S33" s="89"/>
      <c r="BT33" s="89"/>
      <c r="BU33" s="89"/>
      <c r="BV33" s="89"/>
      <c r="BW33" s="89"/>
      <c r="BX33" s="89"/>
      <c r="BY33" s="89"/>
      <c r="BZ33" s="89"/>
      <c r="CA33" s="89"/>
      <c r="CB33" s="89"/>
      <c r="CC33" s="89"/>
      <c r="CD33" s="89"/>
      <c r="CE33" s="89"/>
      <c r="CF33" s="89"/>
      <c r="CG33" s="89"/>
      <c r="CH33" s="89"/>
      <c r="CI33" s="89"/>
      <c r="CJ33" s="89"/>
      <c r="CK33" s="89"/>
      <c r="CL33" s="89"/>
      <c r="CM33" s="89"/>
      <c r="CN33" s="89"/>
      <c r="CO33" s="89"/>
      <c r="CP33" s="89"/>
      <c r="CQ33" s="89"/>
    </row>
    <row r="34" spans="1:95" s="90" customFormat="1" x14ac:dyDescent="0.55000000000000004">
      <c r="A34" s="153">
        <v>31</v>
      </c>
      <c r="B34" s="156" t="s">
        <v>660</v>
      </c>
      <c r="C34" s="157" t="s">
        <v>447</v>
      </c>
      <c r="D34" s="158" t="s">
        <v>35</v>
      </c>
    </row>
    <row r="35" spans="1:95" x14ac:dyDescent="0.55000000000000004">
      <c r="A35" s="154">
        <v>32</v>
      </c>
      <c r="B35" s="155" t="s">
        <v>642</v>
      </c>
      <c r="C35" s="157" t="s">
        <v>413</v>
      </c>
      <c r="D35" s="158">
        <v>16</v>
      </c>
    </row>
    <row r="36" spans="1:95" x14ac:dyDescent="0.55000000000000004">
      <c r="A36" s="154">
        <v>33</v>
      </c>
      <c r="B36" s="155" t="s">
        <v>643</v>
      </c>
      <c r="C36" s="157" t="s">
        <v>424</v>
      </c>
      <c r="D36" s="158">
        <v>7</v>
      </c>
    </row>
  </sheetData>
  <mergeCells count="3">
    <mergeCell ref="A2:A3"/>
    <mergeCell ref="B2:B3"/>
    <mergeCell ref="C2:D2"/>
  </mergeCells>
  <printOptions horizontalCentered="1"/>
  <pageMargins left="3.937007874015748E-2" right="3.937007874015748E-2" top="0.94488188976377963" bottom="0.15748031496062992" header="0.31496062992125984" footer="0.31496062992125984"/>
  <pageSetup paperSize="9" scale="61" fitToWidth="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workbookViewId="0">
      <selection sqref="A1:F1"/>
    </sheetView>
  </sheetViews>
  <sheetFormatPr defaultColWidth="9.33203125" defaultRowHeight="27.7" customHeight="1" x14ac:dyDescent="0.3"/>
  <cols>
    <col min="1" max="1" width="6.44140625" style="12" customWidth="1"/>
    <col min="2" max="2" width="3.6640625" style="6" customWidth="1"/>
    <col min="3" max="3" width="11.6640625" style="13" customWidth="1"/>
    <col min="4" max="4" width="22.33203125" style="2" customWidth="1"/>
    <col min="5" max="5" width="40" style="6" customWidth="1"/>
    <col min="6" max="6" width="9.33203125" style="14"/>
    <col min="7" max="7" width="25.6640625" style="53" customWidth="1"/>
    <col min="8" max="16384" width="9.33203125" style="6"/>
  </cols>
  <sheetData>
    <row r="1" spans="1:7" ht="21.8" customHeight="1" x14ac:dyDescent="0.3">
      <c r="A1" s="504" t="s">
        <v>253</v>
      </c>
      <c r="B1" s="504"/>
      <c r="C1" s="504"/>
      <c r="D1" s="504"/>
      <c r="E1" s="504"/>
      <c r="F1" s="504"/>
    </row>
    <row r="2" spans="1:7" s="8" customFormat="1" ht="36.799999999999997" customHeight="1" x14ac:dyDescent="0.3">
      <c r="A2" s="5" t="s">
        <v>76</v>
      </c>
      <c r="B2" s="502" t="s">
        <v>252</v>
      </c>
      <c r="C2" s="503"/>
      <c r="D2" s="5" t="s">
        <v>251</v>
      </c>
      <c r="E2" s="7" t="s">
        <v>249</v>
      </c>
      <c r="F2" s="51" t="s">
        <v>250</v>
      </c>
      <c r="G2" s="55"/>
    </row>
    <row r="3" spans="1:7" ht="27.7" customHeight="1" x14ac:dyDescent="0.3">
      <c r="A3" s="505">
        <v>1.2</v>
      </c>
      <c r="B3" s="508" t="s">
        <v>8</v>
      </c>
      <c r="C3" s="505" t="s">
        <v>248</v>
      </c>
      <c r="D3" s="3" t="s">
        <v>15</v>
      </c>
      <c r="E3" s="9" t="s">
        <v>14</v>
      </c>
      <c r="F3" s="51">
        <v>135</v>
      </c>
      <c r="G3" s="56">
        <v>9272403694</v>
      </c>
    </row>
    <row r="4" spans="1:7" ht="27.7" customHeight="1" x14ac:dyDescent="0.3">
      <c r="A4" s="507"/>
      <c r="B4" s="508"/>
      <c r="C4" s="507"/>
      <c r="D4" s="4" t="s">
        <v>241</v>
      </c>
      <c r="E4" s="10" t="s">
        <v>226</v>
      </c>
      <c r="F4" s="54">
        <v>24</v>
      </c>
      <c r="G4" s="57"/>
    </row>
    <row r="5" spans="1:7" ht="27.7" customHeight="1" x14ac:dyDescent="0.3">
      <c r="A5" s="507">
        <v>2</v>
      </c>
      <c r="B5" s="508"/>
      <c r="C5" s="507"/>
      <c r="D5" s="4" t="s">
        <v>242</v>
      </c>
      <c r="E5" s="10" t="s">
        <v>227</v>
      </c>
      <c r="F5" s="54">
        <v>42</v>
      </c>
      <c r="G5" s="57"/>
    </row>
    <row r="6" spans="1:7" ht="27.7" customHeight="1" x14ac:dyDescent="0.3">
      <c r="A6" s="507"/>
      <c r="B6" s="508"/>
      <c r="C6" s="507"/>
      <c r="D6" s="4" t="s">
        <v>243</v>
      </c>
      <c r="E6" s="10" t="s">
        <v>228</v>
      </c>
      <c r="F6" s="54">
        <v>79</v>
      </c>
      <c r="G6" s="57"/>
    </row>
    <row r="7" spans="1:7" ht="27.7" customHeight="1" x14ac:dyDescent="0.3">
      <c r="A7" s="506"/>
      <c r="B7" s="508"/>
      <c r="C7" s="506"/>
      <c r="D7" s="4" t="s">
        <v>244</v>
      </c>
      <c r="E7" s="10" t="s">
        <v>14</v>
      </c>
      <c r="F7" s="54">
        <v>135</v>
      </c>
      <c r="G7" s="57"/>
    </row>
    <row r="8" spans="1:7" ht="27.7" customHeight="1" x14ac:dyDescent="0.3">
      <c r="A8" s="505">
        <v>3</v>
      </c>
      <c r="B8" s="508"/>
      <c r="C8" s="505" t="s">
        <v>5</v>
      </c>
      <c r="D8" s="3" t="s">
        <v>15</v>
      </c>
      <c r="E8" s="9" t="s">
        <v>245</v>
      </c>
      <c r="F8" s="51">
        <v>72</v>
      </c>
      <c r="G8" s="57" t="s">
        <v>337</v>
      </c>
    </row>
    <row r="9" spans="1:7" ht="27.7" customHeight="1" x14ac:dyDescent="0.3">
      <c r="A9" s="507"/>
      <c r="B9" s="508"/>
      <c r="C9" s="507"/>
      <c r="D9" s="4" t="s">
        <v>241</v>
      </c>
      <c r="E9" s="10" t="s">
        <v>246</v>
      </c>
      <c r="F9" s="54">
        <v>22</v>
      </c>
      <c r="G9" s="57"/>
    </row>
    <row r="10" spans="1:7" ht="27.7" customHeight="1" x14ac:dyDescent="0.3">
      <c r="A10" s="506"/>
      <c r="B10" s="508"/>
      <c r="C10" s="506"/>
      <c r="D10" s="4" t="s">
        <v>242</v>
      </c>
      <c r="E10" s="10" t="s">
        <v>247</v>
      </c>
      <c r="F10" s="54">
        <v>75</v>
      </c>
      <c r="G10" s="57"/>
    </row>
    <row r="11" spans="1:7" ht="27.7" customHeight="1" x14ac:dyDescent="0.3">
      <c r="A11" s="505">
        <v>4</v>
      </c>
      <c r="B11" s="508" t="s">
        <v>7</v>
      </c>
      <c r="C11" s="505" t="s">
        <v>4</v>
      </c>
      <c r="D11" s="3" t="s">
        <v>15</v>
      </c>
      <c r="E11" s="9" t="s">
        <v>238</v>
      </c>
      <c r="F11" s="51">
        <v>4</v>
      </c>
      <c r="G11" s="56">
        <v>9274881111</v>
      </c>
    </row>
    <row r="12" spans="1:7" ht="27.7" customHeight="1" x14ac:dyDescent="0.3">
      <c r="A12" s="507"/>
      <c r="B12" s="508"/>
      <c r="C12" s="507"/>
      <c r="D12" s="4" t="s">
        <v>241</v>
      </c>
      <c r="E12" s="10" t="s">
        <v>238</v>
      </c>
      <c r="F12" s="54">
        <v>4</v>
      </c>
      <c r="G12" s="57"/>
    </row>
    <row r="13" spans="1:7" ht="27.7" customHeight="1" x14ac:dyDescent="0.3">
      <c r="A13" s="506"/>
      <c r="B13" s="508"/>
      <c r="C13" s="506"/>
      <c r="D13" s="4" t="s">
        <v>242</v>
      </c>
      <c r="E13" s="10" t="s">
        <v>239</v>
      </c>
      <c r="F13" s="54">
        <v>60</v>
      </c>
      <c r="G13" s="57"/>
    </row>
    <row r="14" spans="1:7" ht="27.7" customHeight="1" x14ac:dyDescent="0.3">
      <c r="A14" s="505">
        <v>5</v>
      </c>
      <c r="B14" s="508"/>
      <c r="C14" s="505" t="s">
        <v>0</v>
      </c>
      <c r="D14" s="3" t="s">
        <v>15</v>
      </c>
      <c r="E14" s="9" t="s">
        <v>16</v>
      </c>
      <c r="F14" s="51">
        <v>26</v>
      </c>
      <c r="G14" s="56">
        <v>9274768847</v>
      </c>
    </row>
    <row r="15" spans="1:7" ht="27.7" customHeight="1" x14ac:dyDescent="0.3">
      <c r="A15" s="507"/>
      <c r="B15" s="508"/>
      <c r="C15" s="507"/>
      <c r="D15" s="4" t="s">
        <v>241</v>
      </c>
      <c r="E15" s="10" t="s">
        <v>236</v>
      </c>
      <c r="F15" s="54">
        <v>7</v>
      </c>
      <c r="G15" s="57"/>
    </row>
    <row r="16" spans="1:7" ht="27.7" customHeight="1" x14ac:dyDescent="0.3">
      <c r="A16" s="506"/>
      <c r="B16" s="508"/>
      <c r="C16" s="506"/>
      <c r="D16" s="4" t="s">
        <v>243</v>
      </c>
      <c r="E16" s="10" t="s">
        <v>237</v>
      </c>
      <c r="F16" s="54">
        <v>85</v>
      </c>
      <c r="G16" s="57"/>
    </row>
    <row r="17" spans="1:7" ht="27.7" customHeight="1" x14ac:dyDescent="0.3">
      <c r="A17" s="7">
        <v>6</v>
      </c>
      <c r="B17" s="508"/>
      <c r="C17" s="7" t="s">
        <v>1</v>
      </c>
      <c r="D17" s="3" t="s">
        <v>15</v>
      </c>
      <c r="E17" s="9" t="s">
        <v>366</v>
      </c>
      <c r="F17" s="51">
        <v>50</v>
      </c>
      <c r="G17" s="56" t="s">
        <v>367</v>
      </c>
    </row>
    <row r="18" spans="1:7" ht="27.7" customHeight="1" x14ac:dyDescent="0.3">
      <c r="A18" s="505">
        <v>7</v>
      </c>
      <c r="B18" s="508"/>
      <c r="C18" s="505" t="s">
        <v>2</v>
      </c>
      <c r="D18" s="3" t="s">
        <v>15</v>
      </c>
      <c r="E18" s="9" t="s">
        <v>17</v>
      </c>
      <c r="F18" s="51">
        <v>32</v>
      </c>
      <c r="G18" s="56">
        <v>9600656564</v>
      </c>
    </row>
    <row r="19" spans="1:7" ht="27.7" customHeight="1" x14ac:dyDescent="0.3">
      <c r="A19" s="506"/>
      <c r="B19" s="508"/>
      <c r="C19" s="506"/>
      <c r="D19" s="4" t="s">
        <v>240</v>
      </c>
      <c r="E19" s="10" t="s">
        <v>235</v>
      </c>
      <c r="F19" s="54">
        <v>107</v>
      </c>
      <c r="G19" s="57"/>
    </row>
    <row r="20" spans="1:7" ht="27.7" customHeight="1" x14ac:dyDescent="0.3">
      <c r="A20" s="505">
        <v>8</v>
      </c>
      <c r="B20" s="508"/>
      <c r="C20" s="505" t="s">
        <v>6</v>
      </c>
      <c r="D20" s="3" t="s">
        <v>15</v>
      </c>
      <c r="E20" s="9" t="s">
        <v>19</v>
      </c>
      <c r="F20" s="51">
        <v>118</v>
      </c>
      <c r="G20" s="57" t="s">
        <v>338</v>
      </c>
    </row>
    <row r="21" spans="1:7" ht="27.7" customHeight="1" x14ac:dyDescent="0.3">
      <c r="A21" s="506"/>
      <c r="B21" s="508"/>
      <c r="C21" s="506"/>
      <c r="D21" s="4" t="s">
        <v>240</v>
      </c>
      <c r="E21" s="10" t="s">
        <v>234</v>
      </c>
      <c r="F21" s="54">
        <v>87</v>
      </c>
      <c r="G21" s="57"/>
    </row>
    <row r="22" spans="1:7" ht="27.7" customHeight="1" x14ac:dyDescent="0.3">
      <c r="A22" s="505">
        <v>9</v>
      </c>
      <c r="B22" s="508"/>
      <c r="C22" s="505" t="s">
        <v>3</v>
      </c>
      <c r="D22" s="3" t="s">
        <v>15</v>
      </c>
      <c r="E22" s="9" t="s">
        <v>18</v>
      </c>
      <c r="F22" s="51">
        <v>19</v>
      </c>
      <c r="G22" s="56">
        <v>9061199737</v>
      </c>
    </row>
    <row r="23" spans="1:7" ht="27.7" customHeight="1" x14ac:dyDescent="0.3">
      <c r="A23" s="507"/>
      <c r="B23" s="508"/>
      <c r="C23" s="507"/>
      <c r="D23" s="4" t="s">
        <v>240</v>
      </c>
      <c r="E23" s="10" t="s">
        <v>232</v>
      </c>
      <c r="F23" s="54">
        <v>28</v>
      </c>
      <c r="G23" s="57"/>
    </row>
    <row r="24" spans="1:7" ht="27.7" customHeight="1" x14ac:dyDescent="0.3">
      <c r="A24" s="506"/>
      <c r="B24" s="508"/>
      <c r="C24" s="506"/>
      <c r="D24" s="4" t="s">
        <v>240</v>
      </c>
      <c r="E24" s="11" t="s">
        <v>233</v>
      </c>
      <c r="F24" s="54">
        <v>56</v>
      </c>
      <c r="G24" s="57"/>
    </row>
    <row r="25" spans="1:7" ht="27.7" customHeight="1" x14ac:dyDescent="0.3">
      <c r="A25" s="505">
        <v>10</v>
      </c>
      <c r="B25" s="508"/>
      <c r="C25" s="505" t="s">
        <v>59</v>
      </c>
      <c r="D25" s="3" t="s">
        <v>15</v>
      </c>
      <c r="E25" s="9" t="s">
        <v>214</v>
      </c>
      <c r="F25" s="51">
        <v>10</v>
      </c>
      <c r="G25" s="57">
        <v>9196997565</v>
      </c>
    </row>
    <row r="26" spans="1:7" ht="27.7" customHeight="1" x14ac:dyDescent="0.3">
      <c r="A26" s="506"/>
      <c r="B26" s="508"/>
      <c r="C26" s="506"/>
      <c r="D26" s="4" t="s">
        <v>240</v>
      </c>
      <c r="E26" s="10" t="s">
        <v>231</v>
      </c>
      <c r="F26" s="54">
        <v>57</v>
      </c>
      <c r="G26" s="57"/>
    </row>
    <row r="27" spans="1:7" ht="27.7" customHeight="1" x14ac:dyDescent="0.3">
      <c r="A27" s="505">
        <v>11</v>
      </c>
      <c r="B27" s="508"/>
      <c r="C27" s="505" t="s">
        <v>215</v>
      </c>
      <c r="D27" s="3" t="s">
        <v>15</v>
      </c>
      <c r="E27" s="9" t="s">
        <v>229</v>
      </c>
      <c r="F27" s="51">
        <v>50</v>
      </c>
      <c r="G27" s="57" t="s">
        <v>339</v>
      </c>
    </row>
    <row r="28" spans="1:7" ht="27.7" customHeight="1" x14ac:dyDescent="0.3">
      <c r="A28" s="506"/>
      <c r="B28" s="508"/>
      <c r="C28" s="506"/>
      <c r="D28" s="4" t="s">
        <v>240</v>
      </c>
      <c r="E28" s="10" t="s">
        <v>230</v>
      </c>
      <c r="F28" s="54">
        <v>30</v>
      </c>
      <c r="G28" s="57"/>
    </row>
    <row r="29" spans="1:7" ht="27.7" customHeight="1" x14ac:dyDescent="0.3">
      <c r="A29" s="7">
        <v>12</v>
      </c>
      <c r="B29" s="11"/>
      <c r="C29" s="7" t="s">
        <v>313</v>
      </c>
      <c r="D29" s="3" t="s">
        <v>15</v>
      </c>
      <c r="E29" s="9" t="s">
        <v>314</v>
      </c>
      <c r="F29" s="51">
        <v>43</v>
      </c>
      <c r="G29" s="56"/>
    </row>
    <row r="30" spans="1:7" ht="27.7" customHeight="1" x14ac:dyDescent="0.3">
      <c r="A30" s="7">
        <v>13</v>
      </c>
      <c r="B30" s="11"/>
      <c r="C30" s="7" t="s">
        <v>315</v>
      </c>
      <c r="D30" s="3" t="s">
        <v>15</v>
      </c>
      <c r="E30" s="9" t="s">
        <v>316</v>
      </c>
      <c r="F30" s="51">
        <v>17</v>
      </c>
      <c r="G30" s="56">
        <v>9178872184</v>
      </c>
    </row>
    <row r="31" spans="1:7" ht="27.7" customHeight="1" x14ac:dyDescent="0.3">
      <c r="A31" s="7">
        <v>14</v>
      </c>
      <c r="B31" s="11"/>
      <c r="C31" s="7" t="s">
        <v>317</v>
      </c>
      <c r="D31" s="3" t="s">
        <v>15</v>
      </c>
      <c r="E31" s="9" t="s">
        <v>318</v>
      </c>
      <c r="F31" s="51">
        <v>89</v>
      </c>
      <c r="G31" s="56">
        <v>9172430329</v>
      </c>
    </row>
    <row r="32" spans="1:7" ht="27.7" customHeight="1" x14ac:dyDescent="0.3">
      <c r="A32" s="7">
        <v>15</v>
      </c>
      <c r="B32" s="11"/>
      <c r="C32" s="7" t="s">
        <v>319</v>
      </c>
      <c r="D32" s="3" t="s">
        <v>15</v>
      </c>
      <c r="E32" s="9"/>
      <c r="F32" s="51"/>
      <c r="G32" s="56"/>
    </row>
  </sheetData>
  <mergeCells count="22">
    <mergeCell ref="B11:B28"/>
    <mergeCell ref="A14:A16"/>
    <mergeCell ref="A27:A28"/>
    <mergeCell ref="A25:A26"/>
    <mergeCell ref="A18:A19"/>
    <mergeCell ref="A20:A21"/>
    <mergeCell ref="B2:C2"/>
    <mergeCell ref="A1:F1"/>
    <mergeCell ref="C25:C26"/>
    <mergeCell ref="C27:C28"/>
    <mergeCell ref="A3:A7"/>
    <mergeCell ref="A11:A13"/>
    <mergeCell ref="A22:A24"/>
    <mergeCell ref="C11:C13"/>
    <mergeCell ref="C14:C16"/>
    <mergeCell ref="C18:C19"/>
    <mergeCell ref="C20:C21"/>
    <mergeCell ref="C22:C24"/>
    <mergeCell ref="B3:B10"/>
    <mergeCell ref="C3:C7"/>
    <mergeCell ref="C8:C10"/>
    <mergeCell ref="A8:A10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workbookViewId="0">
      <selection activeCell="E29" sqref="E29"/>
    </sheetView>
  </sheetViews>
  <sheetFormatPr defaultColWidth="9.33203125" defaultRowHeight="27.7" customHeight="1" x14ac:dyDescent="0.25"/>
  <cols>
    <col min="1" max="1" width="4.33203125" style="25" customWidth="1"/>
    <col min="2" max="2" width="22.33203125" style="17" hidden="1" customWidth="1"/>
    <col min="3" max="3" width="18.6640625" style="26" hidden="1" customWidth="1"/>
    <col min="4" max="4" width="12.33203125" style="26" customWidth="1"/>
    <col min="5" max="5" width="26.44140625" style="27" customWidth="1"/>
    <col min="6" max="6" width="5.33203125" style="18" customWidth="1"/>
    <col min="7" max="7" width="0" style="19" hidden="1" customWidth="1"/>
    <col min="8" max="8" width="21.6640625" style="19" customWidth="1"/>
    <col min="9" max="9" width="19" style="19" customWidth="1"/>
    <col min="10" max="16384" width="9.33203125" style="19"/>
  </cols>
  <sheetData>
    <row r="1" spans="1:8" ht="59.95" customHeight="1" x14ac:dyDescent="0.25">
      <c r="A1" s="511" t="s">
        <v>270</v>
      </c>
      <c r="B1" s="511"/>
      <c r="C1" s="511"/>
      <c r="D1" s="511"/>
      <c r="E1" s="511"/>
      <c r="F1" s="511"/>
      <c r="G1" s="511"/>
      <c r="H1" s="511"/>
    </row>
    <row r="2" spans="1:8" s="22" customFormat="1" ht="36.799999999999997" customHeight="1" x14ac:dyDescent="0.3">
      <c r="A2" s="20" t="s">
        <v>76</v>
      </c>
      <c r="B2" s="21" t="s">
        <v>254</v>
      </c>
      <c r="C2" s="21" t="s">
        <v>255</v>
      </c>
      <c r="D2" s="509" t="s">
        <v>256</v>
      </c>
      <c r="E2" s="510"/>
      <c r="F2" s="510"/>
      <c r="G2" s="20" t="s">
        <v>76</v>
      </c>
      <c r="H2" s="21" t="s">
        <v>254</v>
      </c>
    </row>
    <row r="3" spans="1:8" ht="23.35" customHeight="1" x14ac:dyDescent="0.25">
      <c r="A3" s="16">
        <v>1</v>
      </c>
      <c r="B3" s="16" t="s">
        <v>259</v>
      </c>
      <c r="C3" s="23">
        <v>39501</v>
      </c>
      <c r="D3" s="24" t="s">
        <v>258</v>
      </c>
      <c r="E3" s="124" t="s">
        <v>29</v>
      </c>
      <c r="F3" s="125" t="s">
        <v>35</v>
      </c>
      <c r="G3" s="16">
        <v>1</v>
      </c>
      <c r="H3" s="16" t="s">
        <v>259</v>
      </c>
    </row>
    <row r="4" spans="1:8" ht="27.7" customHeight="1" x14ac:dyDescent="0.25">
      <c r="A4" s="16">
        <v>2</v>
      </c>
      <c r="B4" s="16" t="s">
        <v>260</v>
      </c>
      <c r="C4" s="23">
        <v>39721</v>
      </c>
      <c r="D4" s="16" t="s">
        <v>257</v>
      </c>
      <c r="E4" s="124" t="s">
        <v>29</v>
      </c>
      <c r="F4" s="125" t="s">
        <v>30</v>
      </c>
      <c r="G4" s="16">
        <v>2</v>
      </c>
      <c r="H4" s="16" t="s">
        <v>260</v>
      </c>
    </row>
    <row r="5" spans="1:8" ht="27.7" customHeight="1" x14ac:dyDescent="0.25">
      <c r="A5" s="16">
        <v>3</v>
      </c>
      <c r="B5" s="16" t="s">
        <v>261</v>
      </c>
      <c r="C5" s="23">
        <v>41421</v>
      </c>
      <c r="D5" s="16" t="s">
        <v>5</v>
      </c>
      <c r="E5" s="124" t="s">
        <v>45</v>
      </c>
      <c r="F5" s="125" t="s">
        <v>46</v>
      </c>
      <c r="G5" s="16">
        <v>3</v>
      </c>
      <c r="H5" s="16" t="s">
        <v>261</v>
      </c>
    </row>
    <row r="6" spans="1:8" ht="27.7" customHeight="1" x14ac:dyDescent="0.25">
      <c r="A6" s="16">
        <v>4</v>
      </c>
      <c r="B6" s="16" t="s">
        <v>262</v>
      </c>
      <c r="C6" s="23">
        <v>40863</v>
      </c>
      <c r="D6" s="16" t="s">
        <v>4</v>
      </c>
      <c r="E6" s="124" t="s">
        <v>43</v>
      </c>
      <c r="F6" s="125">
        <v>19</v>
      </c>
      <c r="G6" s="16">
        <v>4</v>
      </c>
      <c r="H6" s="16" t="s">
        <v>262</v>
      </c>
    </row>
    <row r="7" spans="1:8" ht="27.7" customHeight="1" x14ac:dyDescent="0.25">
      <c r="A7" s="16">
        <v>5</v>
      </c>
      <c r="B7" s="16" t="s">
        <v>263</v>
      </c>
      <c r="C7" s="23">
        <v>40618</v>
      </c>
      <c r="D7" s="16" t="s">
        <v>0</v>
      </c>
      <c r="E7" s="124" t="s">
        <v>37</v>
      </c>
      <c r="F7" s="125">
        <v>5</v>
      </c>
      <c r="G7" s="16">
        <v>5</v>
      </c>
      <c r="H7" s="16" t="s">
        <v>263</v>
      </c>
    </row>
    <row r="8" spans="1:8" ht="27.7" customHeight="1" x14ac:dyDescent="0.25">
      <c r="A8" s="16">
        <v>6</v>
      </c>
      <c r="B8" s="16" t="s">
        <v>264</v>
      </c>
      <c r="C8" s="23">
        <v>39878</v>
      </c>
      <c r="D8" s="16" t="s">
        <v>1</v>
      </c>
      <c r="E8" s="124" t="s">
        <v>39</v>
      </c>
      <c r="F8" s="125">
        <v>51</v>
      </c>
      <c r="G8" s="16">
        <v>6</v>
      </c>
      <c r="H8" s="16" t="s">
        <v>264</v>
      </c>
    </row>
    <row r="9" spans="1:8" ht="27.7" customHeight="1" x14ac:dyDescent="0.25">
      <c r="A9" s="16">
        <v>7</v>
      </c>
      <c r="B9" s="16" t="s">
        <v>265</v>
      </c>
      <c r="C9" s="23">
        <v>40360</v>
      </c>
      <c r="D9" s="16" t="s">
        <v>2</v>
      </c>
      <c r="E9" s="124" t="s">
        <v>42</v>
      </c>
      <c r="F9" s="125">
        <v>8</v>
      </c>
      <c r="G9" s="16">
        <v>7</v>
      </c>
      <c r="H9" s="16" t="s">
        <v>265</v>
      </c>
    </row>
    <row r="10" spans="1:8" ht="27.7" customHeight="1" x14ac:dyDescent="0.25">
      <c r="A10" s="16">
        <v>8</v>
      </c>
      <c r="B10" s="16" t="s">
        <v>266</v>
      </c>
      <c r="C10" s="23">
        <v>41507</v>
      </c>
      <c r="D10" s="16" t="s">
        <v>6</v>
      </c>
      <c r="E10" s="124" t="s">
        <v>458</v>
      </c>
      <c r="F10" s="125">
        <v>67</v>
      </c>
      <c r="G10" s="16">
        <v>8</v>
      </c>
      <c r="H10" s="16" t="s">
        <v>266</v>
      </c>
    </row>
    <row r="11" spans="1:8" ht="27.7" customHeight="1" x14ac:dyDescent="0.25">
      <c r="A11" s="16">
        <v>9</v>
      </c>
      <c r="B11" s="16" t="s">
        <v>267</v>
      </c>
      <c r="C11" s="23">
        <v>40944</v>
      </c>
      <c r="D11" s="16" t="s">
        <v>3</v>
      </c>
      <c r="E11" s="124" t="s">
        <v>44</v>
      </c>
      <c r="F11" s="125">
        <v>87</v>
      </c>
      <c r="G11" s="16">
        <v>9</v>
      </c>
      <c r="H11" s="16" t="s">
        <v>267</v>
      </c>
    </row>
    <row r="12" spans="1:8" ht="27.7" customHeight="1" x14ac:dyDescent="0.25">
      <c r="A12" s="16">
        <v>10</v>
      </c>
      <c r="B12" s="16" t="s">
        <v>268</v>
      </c>
      <c r="C12" s="23">
        <v>41603</v>
      </c>
      <c r="D12" s="16" t="s">
        <v>59</v>
      </c>
      <c r="E12" s="124" t="s">
        <v>44</v>
      </c>
      <c r="F12" s="125" t="s">
        <v>60</v>
      </c>
      <c r="G12" s="16">
        <v>10</v>
      </c>
      <c r="H12" s="16" t="s">
        <v>594</v>
      </c>
    </row>
    <row r="13" spans="1:8" ht="27.7" customHeight="1" x14ac:dyDescent="0.25">
      <c r="A13" s="16">
        <v>11</v>
      </c>
      <c r="B13" s="16" t="s">
        <v>269</v>
      </c>
      <c r="C13" s="23">
        <v>41687</v>
      </c>
      <c r="D13" s="16" t="s">
        <v>215</v>
      </c>
      <c r="E13" s="124" t="s">
        <v>42</v>
      </c>
      <c r="F13" s="125">
        <v>10</v>
      </c>
      <c r="G13" s="16">
        <v>11</v>
      </c>
      <c r="H13" s="16" t="s">
        <v>269</v>
      </c>
    </row>
    <row r="14" spans="1:8" ht="27.7" customHeight="1" x14ac:dyDescent="0.25">
      <c r="A14" s="16">
        <v>12</v>
      </c>
      <c r="B14" s="16" t="s">
        <v>340</v>
      </c>
      <c r="C14" s="23">
        <v>41688</v>
      </c>
      <c r="D14" s="16" t="s">
        <v>313</v>
      </c>
      <c r="E14" s="124" t="s">
        <v>344</v>
      </c>
      <c r="F14" s="125"/>
      <c r="G14" s="16"/>
      <c r="H14" s="16" t="s">
        <v>348</v>
      </c>
    </row>
    <row r="15" spans="1:8" ht="27.7" customHeight="1" x14ac:dyDescent="0.25">
      <c r="A15" s="16">
        <v>13</v>
      </c>
      <c r="B15" s="16" t="s">
        <v>341</v>
      </c>
      <c r="C15" s="23">
        <v>41689</v>
      </c>
      <c r="D15" s="16" t="s">
        <v>315</v>
      </c>
      <c r="E15" s="124" t="s">
        <v>345</v>
      </c>
      <c r="F15" s="125"/>
      <c r="G15" s="16"/>
      <c r="H15" s="16" t="s">
        <v>348</v>
      </c>
    </row>
    <row r="16" spans="1:8" ht="27.7" customHeight="1" x14ac:dyDescent="0.25">
      <c r="A16" s="16">
        <v>14</v>
      </c>
      <c r="B16" s="16" t="s">
        <v>342</v>
      </c>
      <c r="C16" s="23">
        <v>41690</v>
      </c>
      <c r="D16" s="16" t="s">
        <v>317</v>
      </c>
      <c r="E16" s="124" t="s">
        <v>346</v>
      </c>
      <c r="F16" s="125"/>
      <c r="G16" s="16"/>
      <c r="H16" s="16" t="s">
        <v>349</v>
      </c>
    </row>
    <row r="17" spans="1:8" ht="27.7" customHeight="1" x14ac:dyDescent="0.25">
      <c r="A17" s="16">
        <v>15</v>
      </c>
      <c r="B17" s="16" t="s">
        <v>343</v>
      </c>
      <c r="C17" s="23">
        <v>41691</v>
      </c>
      <c r="D17" s="16" t="s">
        <v>319</v>
      </c>
      <c r="E17" s="124" t="s">
        <v>347</v>
      </c>
      <c r="F17" s="125"/>
      <c r="G17" s="16"/>
      <c r="H17" s="16" t="s">
        <v>350</v>
      </c>
    </row>
    <row r="18" spans="1:8" ht="27.7" customHeight="1" x14ac:dyDescent="0.25">
      <c r="A18" s="16">
        <v>16</v>
      </c>
      <c r="B18" s="16" t="s">
        <v>402</v>
      </c>
      <c r="C18" s="23">
        <v>41692</v>
      </c>
      <c r="D18" s="24" t="s">
        <v>369</v>
      </c>
      <c r="E18" s="124" t="s">
        <v>403</v>
      </c>
      <c r="F18" s="125"/>
      <c r="G18" s="113"/>
      <c r="H18" s="16" t="s">
        <v>404</v>
      </c>
    </row>
    <row r="19" spans="1:8" ht="27.7" customHeight="1" x14ac:dyDescent="0.25">
      <c r="A19" s="109">
        <v>17</v>
      </c>
      <c r="B19" s="16"/>
      <c r="C19" s="109"/>
      <c r="D19" s="111" t="s">
        <v>215</v>
      </c>
      <c r="E19" s="24" t="s">
        <v>592</v>
      </c>
      <c r="F19" s="126"/>
      <c r="G19" s="112"/>
      <c r="H19" s="109" t="s">
        <v>593</v>
      </c>
    </row>
    <row r="20" spans="1:8" ht="27.7" customHeight="1" x14ac:dyDescent="0.25">
      <c r="A20" s="109">
        <v>18</v>
      </c>
      <c r="B20" s="16"/>
      <c r="C20" s="109"/>
      <c r="D20" s="111" t="s">
        <v>563</v>
      </c>
      <c r="E20" s="24" t="s">
        <v>595</v>
      </c>
      <c r="F20" s="126"/>
      <c r="G20" s="112"/>
      <c r="H20" s="110" t="s">
        <v>596</v>
      </c>
    </row>
    <row r="21" spans="1:8" ht="27.7" customHeight="1" x14ac:dyDescent="0.25">
      <c r="A21" s="109">
        <v>19</v>
      </c>
      <c r="B21" s="16"/>
      <c r="C21" s="109"/>
      <c r="D21" s="111" t="s">
        <v>562</v>
      </c>
      <c r="E21" s="24" t="s">
        <v>599</v>
      </c>
      <c r="F21" s="126"/>
      <c r="G21" s="112"/>
      <c r="H21" s="110" t="s">
        <v>597</v>
      </c>
    </row>
    <row r="22" spans="1:8" ht="27.7" customHeight="1" x14ac:dyDescent="0.25">
      <c r="A22" s="109">
        <v>20</v>
      </c>
      <c r="B22" s="16"/>
      <c r="C22" s="109"/>
      <c r="D22" s="111" t="s">
        <v>466</v>
      </c>
      <c r="E22" s="24" t="s">
        <v>598</v>
      </c>
      <c r="F22" s="126"/>
      <c r="G22" s="112"/>
      <c r="H22" s="110" t="s">
        <v>600</v>
      </c>
    </row>
    <row r="23" spans="1:8" ht="27.7" customHeight="1" x14ac:dyDescent="0.25">
      <c r="A23" s="109">
        <v>21</v>
      </c>
      <c r="B23" s="113"/>
      <c r="C23" s="109"/>
      <c r="D23" s="111" t="s">
        <v>601</v>
      </c>
      <c r="E23" s="116" t="s">
        <v>602</v>
      </c>
      <c r="F23" s="127"/>
      <c r="G23" s="112"/>
      <c r="H23" s="110" t="s">
        <v>603</v>
      </c>
    </row>
    <row r="24" spans="1:8" ht="27.7" customHeight="1" x14ac:dyDescent="0.25">
      <c r="A24" s="114">
        <v>22</v>
      </c>
      <c r="D24" s="115" t="s">
        <v>604</v>
      </c>
      <c r="E24" s="116" t="s">
        <v>605</v>
      </c>
      <c r="F24" s="127"/>
      <c r="G24" s="117"/>
      <c r="H24" s="118" t="s">
        <v>606</v>
      </c>
    </row>
    <row r="25" spans="1:8" ht="27.7" customHeight="1" x14ac:dyDescent="0.25">
      <c r="A25" s="109">
        <v>23</v>
      </c>
      <c r="B25" s="119"/>
      <c r="C25" s="120"/>
      <c r="D25" s="120" t="s">
        <v>454</v>
      </c>
      <c r="E25" s="24" t="s">
        <v>607</v>
      </c>
      <c r="F25" s="120"/>
      <c r="G25" s="121"/>
      <c r="H25" s="110" t="s">
        <v>608</v>
      </c>
    </row>
    <row r="26" spans="1:8" ht="27.7" customHeight="1" x14ac:dyDescent="0.25">
      <c r="A26" s="109">
        <v>24</v>
      </c>
      <c r="B26" s="119"/>
      <c r="C26" s="120"/>
      <c r="D26" s="120" t="s">
        <v>451</v>
      </c>
      <c r="E26" s="24" t="s">
        <v>609</v>
      </c>
      <c r="F26" s="120"/>
      <c r="G26" s="121"/>
      <c r="H26" s="110" t="s">
        <v>610</v>
      </c>
    </row>
    <row r="27" spans="1:8" ht="27.7" customHeight="1" x14ac:dyDescent="0.25">
      <c r="A27" s="114">
        <v>25</v>
      </c>
      <c r="B27" s="122"/>
      <c r="C27" s="123"/>
      <c r="D27" s="123" t="s">
        <v>446</v>
      </c>
      <c r="E27" s="116" t="s">
        <v>611</v>
      </c>
      <c r="F27" s="127"/>
      <c r="H27" s="118" t="s">
        <v>612</v>
      </c>
    </row>
    <row r="28" spans="1:8" ht="27.7" customHeight="1" x14ac:dyDescent="0.25">
      <c r="A28" s="111">
        <v>26</v>
      </c>
      <c r="B28" s="119"/>
      <c r="C28" s="120"/>
      <c r="D28" s="109" t="s">
        <v>422</v>
      </c>
      <c r="E28" s="24" t="s">
        <v>613</v>
      </c>
      <c r="F28" s="120"/>
      <c r="G28" s="121"/>
      <c r="H28" s="110" t="s">
        <v>614</v>
      </c>
    </row>
    <row r="29" spans="1:8" ht="27.7" customHeight="1" x14ac:dyDescent="0.25">
      <c r="A29" s="111">
        <v>27</v>
      </c>
      <c r="B29" s="119"/>
      <c r="C29" s="120"/>
      <c r="D29" s="109" t="s">
        <v>421</v>
      </c>
      <c r="E29" s="24" t="s">
        <v>615</v>
      </c>
      <c r="F29" s="120"/>
      <c r="G29" s="121"/>
      <c r="H29" s="110" t="s">
        <v>616</v>
      </c>
    </row>
  </sheetData>
  <mergeCells count="2">
    <mergeCell ref="D2:F2"/>
    <mergeCell ref="A1:H1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"/>
  <sheetViews>
    <sheetView zoomScaleSheetLayoutView="85" workbookViewId="0">
      <pane xSplit="1" ySplit="3" topLeftCell="K4" activePane="bottomRight" state="frozen"/>
      <selection pane="topRight" activeCell="B1" sqref="B1"/>
      <selection pane="bottomLeft" activeCell="A5" sqref="A5"/>
      <selection pane="bottomRight" activeCell="M16" sqref="M16"/>
    </sheetView>
  </sheetViews>
  <sheetFormatPr defaultColWidth="9.33203125" defaultRowHeight="13.15" x14ac:dyDescent="0.3"/>
  <cols>
    <col min="1" max="1" width="4.6640625" style="17" customWidth="1"/>
    <col min="2" max="2" width="14.6640625" style="25" customWidth="1"/>
    <col min="3" max="5" width="9.33203125" style="17"/>
    <col min="6" max="6" width="10.6640625" style="17" customWidth="1"/>
    <col min="7" max="7" width="12.33203125" style="17" customWidth="1"/>
    <col min="8" max="8" width="13.33203125" style="17" customWidth="1"/>
    <col min="9" max="9" width="3.6640625" style="17" hidden="1" customWidth="1"/>
    <col min="10" max="10" width="9.33203125" style="17"/>
    <col min="11" max="11" width="16.33203125" style="25" customWidth="1"/>
    <col min="12" max="15" width="9.33203125" style="17"/>
    <col min="16" max="16" width="11.44140625" style="17" customWidth="1"/>
    <col min="17" max="17" width="13.33203125" style="17" customWidth="1"/>
    <col min="18" max="18" width="4" style="25" hidden="1" customWidth="1"/>
    <col min="19" max="19" width="9.33203125" style="25"/>
    <col min="20" max="20" width="15.44140625" style="25" customWidth="1"/>
    <col min="21" max="23" width="9.33203125" style="17"/>
    <col min="24" max="24" width="11" style="17" customWidth="1"/>
    <col min="25" max="26" width="9.33203125" style="17"/>
    <col min="27" max="16384" width="9.33203125" style="25"/>
  </cols>
  <sheetData>
    <row r="1" spans="1:26" ht="31.5" customHeight="1" x14ac:dyDescent="0.3">
      <c r="A1" s="514" t="s">
        <v>121</v>
      </c>
      <c r="B1" s="514"/>
      <c r="C1" s="514"/>
      <c r="D1" s="514"/>
      <c r="E1" s="514"/>
      <c r="F1" s="514"/>
      <c r="G1" s="514"/>
      <c r="H1" s="514"/>
      <c r="J1" s="514" t="s">
        <v>194</v>
      </c>
      <c r="K1" s="514"/>
      <c r="L1" s="514"/>
      <c r="M1" s="514"/>
      <c r="N1" s="514"/>
      <c r="O1" s="514"/>
      <c r="P1" s="514"/>
      <c r="Q1" s="514"/>
      <c r="S1" s="514" t="s">
        <v>166</v>
      </c>
      <c r="T1" s="514"/>
      <c r="U1" s="514"/>
      <c r="V1" s="514"/>
      <c r="W1" s="514"/>
      <c r="X1" s="514"/>
      <c r="Y1" s="514"/>
      <c r="Z1" s="514"/>
    </row>
    <row r="2" spans="1:26" ht="30.7" customHeight="1" x14ac:dyDescent="0.3">
      <c r="A2" s="515" t="s">
        <v>122</v>
      </c>
      <c r="B2" s="515"/>
      <c r="C2" s="515"/>
      <c r="D2" s="515"/>
      <c r="E2" s="515"/>
      <c r="F2" s="515"/>
      <c r="G2" s="515"/>
      <c r="H2" s="515"/>
      <c r="J2" s="515" t="s">
        <v>122</v>
      </c>
      <c r="K2" s="515"/>
      <c r="L2" s="515"/>
      <c r="M2" s="515"/>
      <c r="N2" s="515"/>
      <c r="O2" s="515"/>
      <c r="P2" s="515"/>
      <c r="Q2" s="515"/>
      <c r="S2" s="515" t="s">
        <v>122</v>
      </c>
      <c r="T2" s="515"/>
      <c r="U2" s="515"/>
      <c r="V2" s="515"/>
      <c r="W2" s="515"/>
      <c r="X2" s="515"/>
      <c r="Y2" s="515"/>
      <c r="Z2" s="515"/>
    </row>
    <row r="3" spans="1:26" s="29" customFormat="1" ht="52.6" x14ac:dyDescent="0.3">
      <c r="A3" s="28" t="s">
        <v>76</v>
      </c>
      <c r="B3" s="28" t="s">
        <v>123</v>
      </c>
      <c r="C3" s="28" t="s">
        <v>124</v>
      </c>
      <c r="D3" s="28" t="s">
        <v>125</v>
      </c>
      <c r="E3" s="28" t="s">
        <v>126</v>
      </c>
      <c r="F3" s="28" t="s">
        <v>127</v>
      </c>
      <c r="G3" s="28" t="s">
        <v>128</v>
      </c>
      <c r="H3" s="28" t="s">
        <v>129</v>
      </c>
      <c r="I3" s="47"/>
      <c r="J3" s="28" t="s">
        <v>76</v>
      </c>
      <c r="K3" s="28" t="s">
        <v>123</v>
      </c>
      <c r="L3" s="28" t="s">
        <v>124</v>
      </c>
      <c r="M3" s="28" t="s">
        <v>125</v>
      </c>
      <c r="N3" s="28" t="s">
        <v>126</v>
      </c>
      <c r="O3" s="28" t="s">
        <v>127</v>
      </c>
      <c r="P3" s="28" t="s">
        <v>128</v>
      </c>
      <c r="Q3" s="28" t="s">
        <v>129</v>
      </c>
      <c r="S3" s="28" t="s">
        <v>76</v>
      </c>
      <c r="T3" s="28" t="s">
        <v>123</v>
      </c>
      <c r="U3" s="28" t="s">
        <v>124</v>
      </c>
      <c r="V3" s="28" t="s">
        <v>125</v>
      </c>
      <c r="W3" s="28" t="s">
        <v>126</v>
      </c>
      <c r="X3" s="28" t="s">
        <v>127</v>
      </c>
      <c r="Y3" s="28" t="s">
        <v>128</v>
      </c>
      <c r="Z3" s="28" t="s">
        <v>129</v>
      </c>
    </row>
    <row r="4" spans="1:26" ht="26.3" x14ac:dyDescent="0.3">
      <c r="A4" s="30">
        <v>1</v>
      </c>
      <c r="B4" s="31" t="s">
        <v>130</v>
      </c>
      <c r="C4" s="30" t="s">
        <v>131</v>
      </c>
      <c r="D4" s="30" t="s">
        <v>132</v>
      </c>
      <c r="E4" s="30" t="s">
        <v>133</v>
      </c>
      <c r="F4" s="30" t="s">
        <v>134</v>
      </c>
      <c r="G4" s="30" t="s">
        <v>135</v>
      </c>
      <c r="H4" s="30" t="s">
        <v>136</v>
      </c>
      <c r="J4" s="30">
        <v>1</v>
      </c>
      <c r="K4" s="31" t="s">
        <v>130</v>
      </c>
      <c r="L4" s="30" t="s">
        <v>195</v>
      </c>
      <c r="M4" s="30" t="s">
        <v>196</v>
      </c>
      <c r="N4" s="30" t="s">
        <v>197</v>
      </c>
      <c r="O4" s="30" t="s">
        <v>198</v>
      </c>
      <c r="P4" s="30" t="s">
        <v>135</v>
      </c>
      <c r="Q4" s="30" t="s">
        <v>136</v>
      </c>
      <c r="S4" s="30">
        <v>1</v>
      </c>
      <c r="T4" s="31" t="s">
        <v>130</v>
      </c>
      <c r="U4" s="30" t="s">
        <v>167</v>
      </c>
      <c r="V4" s="30" t="s">
        <v>168</v>
      </c>
      <c r="W4" s="30" t="s">
        <v>169</v>
      </c>
      <c r="X4" s="30" t="s">
        <v>134</v>
      </c>
      <c r="Y4" s="30" t="s">
        <v>135</v>
      </c>
      <c r="Z4" s="30" t="s">
        <v>136</v>
      </c>
    </row>
    <row r="5" spans="1:26" ht="26.3" x14ac:dyDescent="0.3">
      <c r="A5" s="30">
        <v>2</v>
      </c>
      <c r="B5" s="31" t="s">
        <v>137</v>
      </c>
      <c r="C5" s="30" t="s">
        <v>138</v>
      </c>
      <c r="D5" s="30" t="s">
        <v>139</v>
      </c>
      <c r="E5" s="30" t="s">
        <v>133</v>
      </c>
      <c r="F5" s="30" t="s">
        <v>134</v>
      </c>
      <c r="G5" s="30" t="s">
        <v>135</v>
      </c>
      <c r="H5" s="30" t="s">
        <v>140</v>
      </c>
      <c r="J5" s="512">
        <v>2</v>
      </c>
      <c r="K5" s="513" t="s">
        <v>137</v>
      </c>
      <c r="L5" s="512" t="s">
        <v>199</v>
      </c>
      <c r="M5" s="30" t="s">
        <v>200</v>
      </c>
      <c r="N5" s="512" t="s">
        <v>202</v>
      </c>
      <c r="O5" s="512" t="s">
        <v>198</v>
      </c>
      <c r="P5" s="512" t="s">
        <v>135</v>
      </c>
      <c r="Q5" s="512" t="s">
        <v>140</v>
      </c>
      <c r="S5" s="30">
        <v>2</v>
      </c>
      <c r="T5" s="31" t="s">
        <v>137</v>
      </c>
      <c r="U5" s="30" t="s">
        <v>170</v>
      </c>
      <c r="V5" s="30" t="s">
        <v>171</v>
      </c>
      <c r="W5" s="30" t="s">
        <v>169</v>
      </c>
      <c r="X5" s="30" t="s">
        <v>134</v>
      </c>
      <c r="Y5" s="30" t="s">
        <v>135</v>
      </c>
      <c r="Z5" s="30" t="s">
        <v>140</v>
      </c>
    </row>
    <row r="6" spans="1:26" ht="26.3" x14ac:dyDescent="0.3">
      <c r="A6" s="30">
        <v>3</v>
      </c>
      <c r="B6" s="31" t="s">
        <v>141</v>
      </c>
      <c r="C6" s="30" t="s">
        <v>142</v>
      </c>
      <c r="D6" s="30" t="s">
        <v>143</v>
      </c>
      <c r="E6" s="30" t="s">
        <v>133</v>
      </c>
      <c r="F6" s="30" t="s">
        <v>134</v>
      </c>
      <c r="G6" s="30" t="s">
        <v>135</v>
      </c>
      <c r="H6" s="30" t="s">
        <v>144</v>
      </c>
      <c r="J6" s="512"/>
      <c r="K6" s="513"/>
      <c r="L6" s="512"/>
      <c r="M6" s="30" t="s">
        <v>201</v>
      </c>
      <c r="N6" s="512"/>
      <c r="O6" s="512"/>
      <c r="P6" s="512"/>
      <c r="Q6" s="512"/>
      <c r="S6" s="30">
        <v>3</v>
      </c>
      <c r="T6" s="31" t="s">
        <v>141</v>
      </c>
      <c r="U6" s="30" t="s">
        <v>172</v>
      </c>
      <c r="V6" s="30" t="s">
        <v>173</v>
      </c>
      <c r="W6" s="30" t="s">
        <v>169</v>
      </c>
      <c r="X6" s="30" t="s">
        <v>134</v>
      </c>
      <c r="Y6" s="30" t="s">
        <v>135</v>
      </c>
      <c r="Z6" s="30" t="s">
        <v>144</v>
      </c>
    </row>
    <row r="7" spans="1:26" ht="26.3" x14ac:dyDescent="0.3">
      <c r="A7" s="30">
        <v>4</v>
      </c>
      <c r="B7" s="31" t="s">
        <v>145</v>
      </c>
      <c r="C7" s="30" t="s">
        <v>146</v>
      </c>
      <c r="D7" s="30" t="s">
        <v>147</v>
      </c>
      <c r="E7" s="30" t="s">
        <v>133</v>
      </c>
      <c r="F7" s="30" t="s">
        <v>134</v>
      </c>
      <c r="G7" s="30" t="s">
        <v>135</v>
      </c>
      <c r="H7" s="30" t="s">
        <v>144</v>
      </c>
      <c r="J7" s="30">
        <v>3</v>
      </c>
      <c r="K7" s="31" t="s">
        <v>141</v>
      </c>
      <c r="L7" s="30" t="s">
        <v>203</v>
      </c>
      <c r="M7" s="30">
        <v>10.3</v>
      </c>
      <c r="N7" s="30" t="s">
        <v>204</v>
      </c>
      <c r="O7" s="30" t="s">
        <v>198</v>
      </c>
      <c r="P7" s="30" t="s">
        <v>135</v>
      </c>
      <c r="Q7" s="30" t="s">
        <v>144</v>
      </c>
      <c r="S7" s="30">
        <v>4</v>
      </c>
      <c r="T7" s="31" t="s">
        <v>145</v>
      </c>
      <c r="U7" s="30" t="s">
        <v>174</v>
      </c>
      <c r="V7" s="30" t="s">
        <v>175</v>
      </c>
      <c r="W7" s="30" t="s">
        <v>169</v>
      </c>
      <c r="X7" s="30" t="s">
        <v>134</v>
      </c>
      <c r="Y7" s="30" t="s">
        <v>135</v>
      </c>
      <c r="Z7" s="30" t="s">
        <v>176</v>
      </c>
    </row>
    <row r="8" spans="1:26" ht="46.5" customHeight="1" x14ac:dyDescent="0.3">
      <c r="A8" s="512">
        <v>5</v>
      </c>
      <c r="B8" s="513" t="s">
        <v>148</v>
      </c>
      <c r="C8" s="512" t="s">
        <v>149</v>
      </c>
      <c r="D8" s="30" t="s">
        <v>150</v>
      </c>
      <c r="E8" s="30" t="s">
        <v>151</v>
      </c>
      <c r="F8" s="512" t="s">
        <v>134</v>
      </c>
      <c r="G8" s="512" t="s">
        <v>135</v>
      </c>
      <c r="H8" s="512" t="s">
        <v>152</v>
      </c>
      <c r="J8" s="30">
        <v>4</v>
      </c>
      <c r="K8" s="31" t="s">
        <v>145</v>
      </c>
      <c r="L8" s="30" t="s">
        <v>205</v>
      </c>
      <c r="M8" s="30">
        <v>63</v>
      </c>
      <c r="N8" s="30" t="s">
        <v>197</v>
      </c>
      <c r="O8" s="30" t="s">
        <v>198</v>
      </c>
      <c r="P8" s="30" t="s">
        <v>135</v>
      </c>
      <c r="Q8" s="30" t="s">
        <v>144</v>
      </c>
      <c r="S8" s="512">
        <v>5</v>
      </c>
      <c r="T8" s="513" t="s">
        <v>148</v>
      </c>
      <c r="U8" s="512" t="s">
        <v>177</v>
      </c>
      <c r="V8" s="30" t="s">
        <v>178</v>
      </c>
      <c r="W8" s="30" t="s">
        <v>151</v>
      </c>
      <c r="X8" s="512" t="s">
        <v>179</v>
      </c>
      <c r="Y8" s="512" t="s">
        <v>135</v>
      </c>
      <c r="Z8" s="512" t="s">
        <v>152</v>
      </c>
    </row>
    <row r="9" spans="1:26" ht="26.3" x14ac:dyDescent="0.3">
      <c r="A9" s="512"/>
      <c r="B9" s="513"/>
      <c r="C9" s="512"/>
      <c r="D9" s="30" t="s">
        <v>153</v>
      </c>
      <c r="E9" s="30" t="s">
        <v>154</v>
      </c>
      <c r="F9" s="512"/>
      <c r="G9" s="512"/>
      <c r="H9" s="512"/>
      <c r="J9" s="30">
        <v>5</v>
      </c>
      <c r="K9" s="31" t="s">
        <v>148</v>
      </c>
      <c r="L9" s="30" t="s">
        <v>206</v>
      </c>
      <c r="M9" s="30">
        <v>34</v>
      </c>
      <c r="N9" s="30" t="s">
        <v>207</v>
      </c>
      <c r="O9" s="30" t="s">
        <v>198</v>
      </c>
      <c r="P9" s="30" t="s">
        <v>135</v>
      </c>
      <c r="Q9" s="30" t="s">
        <v>152</v>
      </c>
      <c r="S9" s="512"/>
      <c r="T9" s="513"/>
      <c r="U9" s="512"/>
      <c r="V9" s="30" t="s">
        <v>180</v>
      </c>
      <c r="W9" s="30" t="s">
        <v>181</v>
      </c>
      <c r="X9" s="512"/>
      <c r="Y9" s="512"/>
      <c r="Z9" s="512"/>
    </row>
    <row r="10" spans="1:26" ht="30.05" customHeight="1" x14ac:dyDescent="0.3">
      <c r="A10" s="30">
        <v>6</v>
      </c>
      <c r="B10" s="31" t="s">
        <v>155</v>
      </c>
      <c r="C10" s="30" t="s">
        <v>156</v>
      </c>
      <c r="D10" s="30" t="s">
        <v>157</v>
      </c>
      <c r="E10" s="30" t="s">
        <v>158</v>
      </c>
      <c r="F10" s="30" t="s">
        <v>134</v>
      </c>
      <c r="G10" s="30" t="s">
        <v>135</v>
      </c>
      <c r="H10" s="30" t="s">
        <v>159</v>
      </c>
      <c r="J10" s="30">
        <v>6</v>
      </c>
      <c r="K10" s="31" t="s">
        <v>155</v>
      </c>
      <c r="L10" s="30" t="s">
        <v>208</v>
      </c>
      <c r="M10" s="30">
        <v>42.5</v>
      </c>
      <c r="N10" s="30" t="s">
        <v>209</v>
      </c>
      <c r="O10" s="30" t="s">
        <v>198</v>
      </c>
      <c r="P10" s="30" t="s">
        <v>135</v>
      </c>
      <c r="Q10" s="30" t="s">
        <v>159</v>
      </c>
      <c r="S10" s="30">
        <v>6</v>
      </c>
      <c r="T10" s="31" t="s">
        <v>155</v>
      </c>
      <c r="U10" s="30" t="s">
        <v>182</v>
      </c>
      <c r="V10" s="30" t="s">
        <v>183</v>
      </c>
      <c r="W10" s="30" t="s">
        <v>169</v>
      </c>
      <c r="X10" s="30" t="s">
        <v>184</v>
      </c>
      <c r="Y10" s="30" t="s">
        <v>135</v>
      </c>
      <c r="Z10" s="30" t="s">
        <v>159</v>
      </c>
    </row>
    <row r="11" spans="1:26" ht="26.3" x14ac:dyDescent="0.3">
      <c r="A11" s="30">
        <v>7</v>
      </c>
      <c r="B11" s="31" t="s">
        <v>160</v>
      </c>
      <c r="C11" s="30" t="s">
        <v>161</v>
      </c>
      <c r="D11" s="30" t="s">
        <v>162</v>
      </c>
      <c r="E11" s="30" t="s">
        <v>133</v>
      </c>
      <c r="F11" s="30" t="s">
        <v>134</v>
      </c>
      <c r="G11" s="30" t="s">
        <v>135</v>
      </c>
      <c r="H11" s="30" t="s">
        <v>163</v>
      </c>
      <c r="J11" s="30">
        <v>7</v>
      </c>
      <c r="K11" s="31" t="s">
        <v>160</v>
      </c>
      <c r="L11" s="30" t="s">
        <v>210</v>
      </c>
      <c r="M11" s="30">
        <v>15.75</v>
      </c>
      <c r="N11" s="30" t="s">
        <v>211</v>
      </c>
      <c r="O11" s="30" t="s">
        <v>198</v>
      </c>
      <c r="P11" s="30" t="s">
        <v>135</v>
      </c>
      <c r="Q11" s="30" t="s">
        <v>163</v>
      </c>
      <c r="S11" s="512">
        <v>7</v>
      </c>
      <c r="T11" s="513" t="s">
        <v>160</v>
      </c>
      <c r="U11" s="30" t="s">
        <v>185</v>
      </c>
      <c r="V11" s="30" t="s">
        <v>186</v>
      </c>
      <c r="W11" s="30" t="s">
        <v>133</v>
      </c>
      <c r="X11" s="512" t="s">
        <v>134</v>
      </c>
      <c r="Y11" s="512" t="s">
        <v>135</v>
      </c>
      <c r="Z11" s="512" t="s">
        <v>163</v>
      </c>
    </row>
    <row r="12" spans="1:26" ht="31.5" customHeight="1" x14ac:dyDescent="0.3">
      <c r="A12" s="20">
        <v>8</v>
      </c>
      <c r="B12" s="31" t="s">
        <v>164</v>
      </c>
      <c r="C12" s="30" t="s">
        <v>165</v>
      </c>
      <c r="D12" s="30">
        <v>150</v>
      </c>
      <c r="E12" s="30" t="s">
        <v>133</v>
      </c>
      <c r="F12" s="30" t="s">
        <v>134</v>
      </c>
      <c r="G12" s="30" t="s">
        <v>135</v>
      </c>
      <c r="H12" s="30" t="s">
        <v>144</v>
      </c>
      <c r="J12" s="20">
        <v>8</v>
      </c>
      <c r="K12" s="31" t="s">
        <v>164</v>
      </c>
      <c r="L12" s="30" t="s">
        <v>212</v>
      </c>
      <c r="M12" s="30">
        <v>11</v>
      </c>
      <c r="N12" s="30" t="s">
        <v>213</v>
      </c>
      <c r="O12" s="30" t="s">
        <v>198</v>
      </c>
      <c r="P12" s="30" t="s">
        <v>135</v>
      </c>
      <c r="Q12" s="30" t="s">
        <v>144</v>
      </c>
      <c r="S12" s="512"/>
      <c r="T12" s="513"/>
      <c r="U12" s="512" t="s">
        <v>187</v>
      </c>
      <c r="V12" s="30" t="s">
        <v>188</v>
      </c>
      <c r="W12" s="30" t="s">
        <v>169</v>
      </c>
      <c r="X12" s="512"/>
      <c r="Y12" s="512"/>
      <c r="Z12" s="512"/>
    </row>
    <row r="13" spans="1:26" ht="31.5" customHeight="1" x14ac:dyDescent="0.3">
      <c r="A13" s="30">
        <v>9</v>
      </c>
      <c r="B13" s="31" t="s">
        <v>282</v>
      </c>
      <c r="C13" s="30" t="s">
        <v>286</v>
      </c>
      <c r="D13" s="30">
        <v>70</v>
      </c>
      <c r="E13" s="30" t="s">
        <v>287</v>
      </c>
      <c r="F13" s="30" t="s">
        <v>290</v>
      </c>
      <c r="G13" s="30" t="s">
        <v>300</v>
      </c>
      <c r="H13" s="30" t="s">
        <v>288</v>
      </c>
      <c r="J13" s="30">
        <v>9</v>
      </c>
      <c r="K13" s="32" t="s">
        <v>282</v>
      </c>
      <c r="L13" s="20" t="s">
        <v>285</v>
      </c>
      <c r="M13" s="16">
        <v>94</v>
      </c>
      <c r="N13" s="16" t="s">
        <v>283</v>
      </c>
      <c r="O13" s="16" t="s">
        <v>284</v>
      </c>
      <c r="P13" s="16" t="s">
        <v>135</v>
      </c>
      <c r="Q13" s="16" t="s">
        <v>144</v>
      </c>
      <c r="S13" s="512"/>
      <c r="T13" s="513"/>
      <c r="U13" s="512"/>
      <c r="V13" s="30" t="s">
        <v>189</v>
      </c>
      <c r="W13" s="30" t="s">
        <v>133</v>
      </c>
      <c r="X13" s="512"/>
      <c r="Y13" s="512"/>
      <c r="Z13" s="512"/>
    </row>
    <row r="14" spans="1:26" ht="37.6" customHeight="1" x14ac:dyDescent="0.3">
      <c r="A14" s="39">
        <v>10</v>
      </c>
      <c r="B14" s="40" t="s">
        <v>296</v>
      </c>
      <c r="C14" s="39" t="s">
        <v>297</v>
      </c>
      <c r="D14" s="39">
        <v>20.2</v>
      </c>
      <c r="E14" s="39" t="s">
        <v>298</v>
      </c>
      <c r="F14" s="39" t="s">
        <v>290</v>
      </c>
      <c r="G14" s="39" t="s">
        <v>300</v>
      </c>
      <c r="H14" s="39" t="s">
        <v>291</v>
      </c>
      <c r="J14" s="39">
        <v>10</v>
      </c>
      <c r="K14" s="41" t="s">
        <v>293</v>
      </c>
      <c r="L14" s="46" t="s">
        <v>302</v>
      </c>
      <c r="M14" s="42">
        <v>148.5</v>
      </c>
      <c r="N14" s="42" t="s">
        <v>303</v>
      </c>
      <c r="O14" s="42" t="s">
        <v>301</v>
      </c>
      <c r="P14" s="42" t="s">
        <v>135</v>
      </c>
      <c r="Q14" s="42" t="s">
        <v>291</v>
      </c>
      <c r="S14" s="30">
        <v>8</v>
      </c>
      <c r="T14" s="31" t="s">
        <v>190</v>
      </c>
      <c r="U14" s="30" t="s">
        <v>191</v>
      </c>
      <c r="V14" s="30" t="s">
        <v>192</v>
      </c>
      <c r="W14" s="30" t="s">
        <v>133</v>
      </c>
      <c r="X14" s="30" t="s">
        <v>134</v>
      </c>
      <c r="Y14" s="30" t="s">
        <v>135</v>
      </c>
      <c r="Z14" s="30" t="s">
        <v>136</v>
      </c>
    </row>
    <row r="15" spans="1:26" ht="37.6" customHeight="1" x14ac:dyDescent="0.3">
      <c r="A15" s="33">
        <v>11</v>
      </c>
      <c r="B15" s="34" t="s">
        <v>294</v>
      </c>
      <c r="C15" s="33" t="s">
        <v>299</v>
      </c>
      <c r="D15" s="33">
        <v>20.2</v>
      </c>
      <c r="E15" s="33" t="s">
        <v>133</v>
      </c>
      <c r="F15" s="33" t="s">
        <v>290</v>
      </c>
      <c r="G15" s="33" t="s">
        <v>300</v>
      </c>
      <c r="H15" s="33" t="s">
        <v>291</v>
      </c>
      <c r="I15" s="16"/>
      <c r="J15" s="33">
        <v>11</v>
      </c>
      <c r="K15" s="32" t="s">
        <v>294</v>
      </c>
      <c r="L15" s="20" t="s">
        <v>302</v>
      </c>
      <c r="M15" s="16">
        <v>148.5</v>
      </c>
      <c r="N15" s="16" t="s">
        <v>304</v>
      </c>
      <c r="O15" s="16" t="s">
        <v>301</v>
      </c>
      <c r="P15" s="16" t="s">
        <v>135</v>
      </c>
      <c r="Q15" s="16" t="s">
        <v>291</v>
      </c>
      <c r="S15" s="30">
        <v>9</v>
      </c>
      <c r="T15" s="31" t="s">
        <v>164</v>
      </c>
      <c r="U15" s="30" t="s">
        <v>193</v>
      </c>
      <c r="V15" s="30">
        <v>105</v>
      </c>
      <c r="W15" s="30">
        <v>110</v>
      </c>
      <c r="X15" s="30" t="s">
        <v>134</v>
      </c>
      <c r="Y15" s="30" t="s">
        <v>135</v>
      </c>
      <c r="Z15" s="30">
        <v>2013</v>
      </c>
    </row>
    <row r="16" spans="1:26" ht="37.6" customHeight="1" x14ac:dyDescent="0.3">
      <c r="A16" s="35"/>
      <c r="B16" s="43"/>
      <c r="C16" s="48"/>
      <c r="D16" s="35"/>
      <c r="E16" s="35"/>
      <c r="F16" s="35"/>
      <c r="G16" s="35"/>
      <c r="H16" s="35"/>
      <c r="J16" s="35"/>
      <c r="L16" s="45"/>
      <c r="S16" s="33">
        <v>10</v>
      </c>
      <c r="T16" s="32" t="s">
        <v>292</v>
      </c>
      <c r="U16" s="20" t="s">
        <v>289</v>
      </c>
      <c r="V16" s="16">
        <v>10</v>
      </c>
      <c r="W16" s="16">
        <v>110</v>
      </c>
      <c r="X16" s="16" t="s">
        <v>290</v>
      </c>
      <c r="Y16" s="16" t="s">
        <v>135</v>
      </c>
      <c r="Z16" s="16" t="s">
        <v>291</v>
      </c>
    </row>
    <row r="17" spans="1:26" ht="37.6" customHeight="1" x14ac:dyDescent="0.3">
      <c r="A17" s="35"/>
      <c r="B17" s="35"/>
      <c r="C17" s="44"/>
      <c r="D17" s="35"/>
      <c r="E17" s="35"/>
      <c r="F17" s="35"/>
      <c r="G17" s="35"/>
      <c r="H17" s="35"/>
      <c r="J17" s="35"/>
      <c r="L17" s="45"/>
      <c r="S17" s="33">
        <v>11</v>
      </c>
      <c r="T17" s="32" t="s">
        <v>293</v>
      </c>
      <c r="U17" s="20" t="s">
        <v>295</v>
      </c>
      <c r="V17" s="16">
        <v>120</v>
      </c>
      <c r="W17" s="16">
        <v>110</v>
      </c>
      <c r="X17" s="16" t="s">
        <v>290</v>
      </c>
      <c r="Y17" s="16" t="s">
        <v>135</v>
      </c>
      <c r="Z17" s="16" t="s">
        <v>291</v>
      </c>
    </row>
    <row r="18" spans="1:26" ht="37.6" customHeight="1" x14ac:dyDescent="0.3">
      <c r="A18" s="35"/>
      <c r="B18" s="36"/>
      <c r="C18" s="35"/>
      <c r="D18" s="35"/>
      <c r="E18" s="35"/>
      <c r="F18" s="35"/>
      <c r="G18" s="35"/>
      <c r="H18" s="35"/>
      <c r="J18" s="35"/>
      <c r="S18" s="33">
        <v>12</v>
      </c>
      <c r="T18" s="32" t="s">
        <v>294</v>
      </c>
      <c r="U18" s="20" t="s">
        <v>295</v>
      </c>
      <c r="V18" s="16">
        <v>40</v>
      </c>
      <c r="W18" s="16">
        <v>110</v>
      </c>
      <c r="X18" s="16" t="s">
        <v>290</v>
      </c>
      <c r="Y18" s="16" t="s">
        <v>135</v>
      </c>
      <c r="Z18" s="16" t="s">
        <v>291</v>
      </c>
    </row>
    <row r="19" spans="1:26" ht="37.6" customHeight="1" x14ac:dyDescent="0.3">
      <c r="A19" s="35"/>
      <c r="B19" s="36"/>
      <c r="C19" s="35"/>
      <c r="D19" s="35"/>
      <c r="E19" s="35"/>
      <c r="F19" s="35"/>
      <c r="G19" s="35"/>
      <c r="H19" s="35"/>
      <c r="J19" s="35"/>
      <c r="S19" s="35"/>
      <c r="U19" s="45"/>
    </row>
    <row r="20" spans="1:26" ht="37.6" customHeight="1" x14ac:dyDescent="0.3">
      <c r="A20" s="35"/>
      <c r="B20" s="36"/>
      <c r="C20" s="35"/>
      <c r="D20" s="35"/>
      <c r="E20" s="35"/>
      <c r="F20" s="35"/>
      <c r="G20" s="35"/>
      <c r="H20" s="35"/>
      <c r="S20" s="35"/>
      <c r="U20" s="45"/>
    </row>
    <row r="21" spans="1:26" ht="37.6" customHeight="1" x14ac:dyDescent="0.3">
      <c r="A21" s="35"/>
      <c r="B21" s="36"/>
      <c r="C21" s="35"/>
      <c r="D21" s="35"/>
      <c r="E21" s="35"/>
      <c r="F21" s="35"/>
      <c r="G21" s="35"/>
      <c r="H21" s="35"/>
      <c r="S21" s="35"/>
    </row>
    <row r="22" spans="1:26" ht="37.6" customHeight="1" x14ac:dyDescent="0.3">
      <c r="A22" s="35"/>
      <c r="B22" s="36"/>
      <c r="C22" s="35"/>
      <c r="D22" s="35"/>
      <c r="E22" s="35"/>
      <c r="F22" s="35"/>
      <c r="G22" s="35"/>
      <c r="H22" s="35"/>
    </row>
    <row r="23" spans="1:26" ht="37.6" customHeight="1" x14ac:dyDescent="0.3">
      <c r="A23" s="35"/>
      <c r="B23" s="36"/>
      <c r="C23" s="35"/>
      <c r="D23" s="35"/>
      <c r="E23" s="35"/>
      <c r="F23" s="35"/>
      <c r="G23" s="35"/>
      <c r="H23" s="35"/>
    </row>
    <row r="24" spans="1:26" x14ac:dyDescent="0.3">
      <c r="A24" s="35"/>
      <c r="B24" s="36"/>
      <c r="C24" s="35"/>
      <c r="D24" s="35"/>
      <c r="E24" s="35"/>
      <c r="F24" s="35"/>
      <c r="G24" s="35"/>
      <c r="H24" s="35"/>
    </row>
    <row r="25" spans="1:26" x14ac:dyDescent="0.3">
      <c r="A25" s="516"/>
      <c r="B25" s="517"/>
      <c r="C25" s="35"/>
      <c r="D25" s="35"/>
      <c r="E25" s="35"/>
      <c r="F25" s="516"/>
      <c r="G25" s="516"/>
      <c r="H25" s="516"/>
    </row>
    <row r="26" spans="1:26" ht="30.7" customHeight="1" x14ac:dyDescent="0.3">
      <c r="A26" s="516"/>
      <c r="B26" s="517"/>
      <c r="C26" s="516"/>
      <c r="D26" s="35"/>
      <c r="E26" s="35"/>
      <c r="F26" s="516"/>
      <c r="G26" s="516"/>
      <c r="H26" s="516"/>
    </row>
    <row r="27" spans="1:26" x14ac:dyDescent="0.3">
      <c r="A27" s="516"/>
      <c r="B27" s="517"/>
      <c r="C27" s="516"/>
      <c r="D27" s="35"/>
      <c r="E27" s="35"/>
      <c r="F27" s="516"/>
      <c r="G27" s="516"/>
      <c r="H27" s="516"/>
    </row>
    <row r="28" spans="1:26" x14ac:dyDescent="0.3">
      <c r="A28" s="35"/>
      <c r="B28" s="36"/>
      <c r="C28" s="35"/>
      <c r="D28" s="35"/>
      <c r="E28" s="35"/>
      <c r="F28" s="35"/>
      <c r="G28" s="35"/>
      <c r="H28" s="35"/>
    </row>
    <row r="29" spans="1:26" x14ac:dyDescent="0.3">
      <c r="A29" s="35"/>
      <c r="B29" s="36"/>
      <c r="C29" s="35"/>
      <c r="D29" s="35"/>
      <c r="E29" s="35"/>
      <c r="F29" s="35"/>
      <c r="G29" s="35"/>
      <c r="H29" s="35"/>
    </row>
    <row r="30" spans="1:26" x14ac:dyDescent="0.3">
      <c r="A30" s="37"/>
      <c r="B30" s="38"/>
      <c r="C30" s="37"/>
      <c r="D30" s="37"/>
      <c r="E30" s="37"/>
      <c r="F30" s="37"/>
      <c r="G30" s="37"/>
      <c r="H30" s="37"/>
    </row>
    <row r="31" spans="1:26" x14ac:dyDescent="0.3">
      <c r="A31" s="37"/>
      <c r="B31" s="38"/>
      <c r="C31" s="37"/>
      <c r="D31" s="37"/>
      <c r="E31" s="37"/>
      <c r="F31" s="37"/>
      <c r="G31" s="37"/>
      <c r="H31" s="37"/>
    </row>
    <row r="32" spans="1:26" x14ac:dyDescent="0.3">
      <c r="A32" s="37"/>
      <c r="B32" s="38"/>
      <c r="C32" s="37"/>
      <c r="D32" s="37"/>
      <c r="E32" s="37"/>
      <c r="F32" s="37"/>
      <c r="G32" s="37"/>
      <c r="H32" s="37"/>
    </row>
  </sheetData>
  <mergeCells count="37">
    <mergeCell ref="A1:H1"/>
    <mergeCell ref="A2:H2"/>
    <mergeCell ref="A8:A9"/>
    <mergeCell ref="B8:B9"/>
    <mergeCell ref="C8:C9"/>
    <mergeCell ref="F8:F9"/>
    <mergeCell ref="G8:G9"/>
    <mergeCell ref="H8:H9"/>
    <mergeCell ref="A25:A27"/>
    <mergeCell ref="B25:B27"/>
    <mergeCell ref="F25:F27"/>
    <mergeCell ref="G25:G27"/>
    <mergeCell ref="H25:H27"/>
    <mergeCell ref="C26:C27"/>
    <mergeCell ref="J1:Q1"/>
    <mergeCell ref="J2:Q2"/>
    <mergeCell ref="J5:J6"/>
    <mergeCell ref="K5:K6"/>
    <mergeCell ref="L5:L6"/>
    <mergeCell ref="N5:N6"/>
    <mergeCell ref="O5:O6"/>
    <mergeCell ref="P5:P6"/>
    <mergeCell ref="Q5:Q6"/>
    <mergeCell ref="S1:Z1"/>
    <mergeCell ref="S2:Z2"/>
    <mergeCell ref="S8:S9"/>
    <mergeCell ref="T8:T9"/>
    <mergeCell ref="U8:U9"/>
    <mergeCell ref="X8:X9"/>
    <mergeCell ref="Y8:Y9"/>
    <mergeCell ref="Z8:Z9"/>
    <mergeCell ref="S11:S13"/>
    <mergeCell ref="T11:T13"/>
    <mergeCell ref="X11:X13"/>
    <mergeCell ref="Y11:Y13"/>
    <mergeCell ref="Z11:Z13"/>
    <mergeCell ref="U12:U13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colBreaks count="1" manualBreakCount="1">
    <brk id="18" max="20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Q44"/>
  <sheetViews>
    <sheetView view="pageBreakPreview" zoomScale="60" zoomScaleNormal="5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10" sqref="C10"/>
    </sheetView>
  </sheetViews>
  <sheetFormatPr defaultColWidth="9.33203125" defaultRowHeight="43.2" customHeight="1" x14ac:dyDescent="0.3"/>
  <cols>
    <col min="1" max="1" width="7.44140625" style="317" customWidth="1"/>
    <col min="2" max="2" width="61.109375" style="322" customWidth="1"/>
    <col min="3" max="3" width="69.6640625" style="319" customWidth="1"/>
    <col min="4" max="4" width="17" style="319" customWidth="1"/>
    <col min="5" max="10" width="17.33203125" style="318" hidden="1" customWidth="1"/>
    <col min="11" max="11" width="7.33203125" style="314" customWidth="1"/>
    <col min="12" max="16384" width="9.33203125" style="314"/>
  </cols>
  <sheetData>
    <row r="1" spans="1:95" ht="43.2" customHeight="1" x14ac:dyDescent="0.3">
      <c r="B1" s="518" t="s">
        <v>867</v>
      </c>
      <c r="C1" s="518"/>
      <c r="D1" s="518"/>
    </row>
    <row r="2" spans="1:95" ht="43.2" customHeight="1" x14ac:dyDescent="0.3">
      <c r="A2" s="312">
        <v>1</v>
      </c>
      <c r="B2" s="320" t="s">
        <v>274</v>
      </c>
      <c r="C2" s="323" t="s">
        <v>278</v>
      </c>
      <c r="D2" s="324">
        <v>76</v>
      </c>
      <c r="E2" s="313"/>
      <c r="F2" s="313"/>
      <c r="G2" s="313"/>
      <c r="H2" s="313"/>
      <c r="I2" s="313"/>
      <c r="J2" s="313"/>
    </row>
    <row r="3" spans="1:95" ht="43.2" customHeight="1" x14ac:dyDescent="0.3">
      <c r="A3" s="312">
        <v>2</v>
      </c>
      <c r="B3" s="320" t="s">
        <v>275</v>
      </c>
      <c r="C3" s="323" t="s">
        <v>278</v>
      </c>
      <c r="D3" s="324" t="s">
        <v>279</v>
      </c>
      <c r="E3" s="313"/>
      <c r="F3" s="313"/>
      <c r="G3" s="313"/>
      <c r="H3" s="313"/>
      <c r="I3" s="313"/>
      <c r="J3" s="313"/>
    </row>
    <row r="4" spans="1:95" ht="43.2" customHeight="1" x14ac:dyDescent="0.3">
      <c r="A4" s="312">
        <v>3</v>
      </c>
      <c r="B4" s="320" t="s">
        <v>369</v>
      </c>
      <c r="C4" s="323" t="s">
        <v>320</v>
      </c>
      <c r="D4" s="324" t="s">
        <v>370</v>
      </c>
      <c r="E4" s="313"/>
      <c r="F4" s="313"/>
      <c r="G4" s="313"/>
      <c r="H4" s="313"/>
      <c r="I4" s="313"/>
      <c r="J4" s="313"/>
    </row>
    <row r="5" spans="1:95" ht="43.2" customHeight="1" x14ac:dyDescent="0.3">
      <c r="A5" s="312">
        <v>4</v>
      </c>
      <c r="B5" s="320" t="s">
        <v>6</v>
      </c>
      <c r="C5" s="323" t="s">
        <v>48</v>
      </c>
      <c r="D5" s="324">
        <v>67</v>
      </c>
      <c r="E5" s="313"/>
      <c r="F5" s="313"/>
      <c r="G5" s="313"/>
      <c r="H5" s="313"/>
      <c r="I5" s="313"/>
      <c r="J5" s="313"/>
    </row>
    <row r="6" spans="1:95" ht="43.2" customHeight="1" x14ac:dyDescent="0.3">
      <c r="A6" s="312">
        <v>5</v>
      </c>
      <c r="B6" s="320" t="s">
        <v>47</v>
      </c>
      <c r="C6" s="323" t="s">
        <v>45</v>
      </c>
      <c r="D6" s="324" t="s">
        <v>46</v>
      </c>
      <c r="E6" s="313"/>
      <c r="F6" s="313"/>
      <c r="G6" s="313"/>
      <c r="H6" s="313"/>
      <c r="I6" s="313"/>
      <c r="J6" s="313"/>
    </row>
    <row r="7" spans="1:95" ht="43.2" customHeight="1" x14ac:dyDescent="0.3">
      <c r="A7" s="312">
        <v>6</v>
      </c>
      <c r="B7" s="320" t="s">
        <v>774</v>
      </c>
      <c r="C7" s="323" t="s">
        <v>678</v>
      </c>
      <c r="D7" s="324" t="s">
        <v>778</v>
      </c>
      <c r="E7" s="313"/>
      <c r="F7" s="313"/>
      <c r="G7" s="313"/>
      <c r="H7" s="313"/>
      <c r="I7" s="313"/>
      <c r="J7" s="313"/>
    </row>
    <row r="8" spans="1:95" ht="43.2" customHeight="1" x14ac:dyDescent="0.3">
      <c r="A8" s="312">
        <v>7</v>
      </c>
      <c r="B8" s="320" t="s">
        <v>677</v>
      </c>
      <c r="C8" s="323" t="s">
        <v>678</v>
      </c>
      <c r="D8" s="324">
        <v>42</v>
      </c>
      <c r="E8" s="313"/>
      <c r="F8" s="313"/>
      <c r="G8" s="313"/>
      <c r="H8" s="313"/>
      <c r="I8" s="313"/>
      <c r="J8" s="313"/>
    </row>
    <row r="9" spans="1:95" ht="43.2" customHeight="1" x14ac:dyDescent="0.3">
      <c r="A9" s="312">
        <v>8</v>
      </c>
      <c r="B9" s="320" t="s">
        <v>698</v>
      </c>
      <c r="C9" s="323" t="s">
        <v>678</v>
      </c>
      <c r="D9" s="324" t="s">
        <v>696</v>
      </c>
      <c r="E9" s="313"/>
      <c r="F9" s="313"/>
      <c r="G9" s="313"/>
      <c r="H9" s="313"/>
      <c r="I9" s="313"/>
      <c r="J9" s="313"/>
    </row>
    <row r="10" spans="1:95" ht="43.2" customHeight="1" x14ac:dyDescent="0.3">
      <c r="A10" s="312">
        <v>9</v>
      </c>
      <c r="B10" s="320" t="s">
        <v>769</v>
      </c>
      <c r="C10" s="323" t="s">
        <v>678</v>
      </c>
      <c r="D10" s="324" t="s">
        <v>770</v>
      </c>
      <c r="E10" s="313"/>
      <c r="F10" s="313"/>
      <c r="G10" s="313"/>
      <c r="H10" s="313"/>
      <c r="I10" s="313"/>
      <c r="J10" s="313"/>
    </row>
    <row r="11" spans="1:95" ht="43.2" customHeight="1" x14ac:dyDescent="0.3">
      <c r="A11" s="312">
        <v>10</v>
      </c>
      <c r="B11" s="320" t="s">
        <v>277</v>
      </c>
      <c r="C11" s="323" t="s">
        <v>320</v>
      </c>
      <c r="D11" s="324">
        <v>28</v>
      </c>
      <c r="E11" s="313"/>
      <c r="F11" s="313"/>
      <c r="G11" s="313"/>
      <c r="H11" s="313"/>
      <c r="I11" s="313"/>
      <c r="J11" s="313"/>
    </row>
    <row r="12" spans="1:95" ht="43.2" customHeight="1" x14ac:dyDescent="0.3">
      <c r="A12" s="312">
        <v>11</v>
      </c>
      <c r="B12" s="320" t="s">
        <v>36</v>
      </c>
      <c r="C12" s="323" t="s">
        <v>29</v>
      </c>
      <c r="D12" s="324" t="s">
        <v>35</v>
      </c>
      <c r="E12" s="313"/>
      <c r="F12" s="313"/>
      <c r="G12" s="313"/>
      <c r="H12" s="313"/>
      <c r="I12" s="313"/>
      <c r="J12" s="313"/>
    </row>
    <row r="13" spans="1:95" ht="43.2" customHeight="1" x14ac:dyDescent="0.3">
      <c r="A13" s="312">
        <v>12</v>
      </c>
      <c r="B13" s="320" t="s">
        <v>31</v>
      </c>
      <c r="C13" s="323" t="s">
        <v>29</v>
      </c>
      <c r="D13" s="324" t="s">
        <v>30</v>
      </c>
      <c r="E13" s="313"/>
      <c r="F13" s="313"/>
      <c r="G13" s="313"/>
      <c r="H13" s="313"/>
      <c r="I13" s="313"/>
      <c r="J13" s="313"/>
    </row>
    <row r="14" spans="1:95" ht="43.2" customHeight="1" x14ac:dyDescent="0.3">
      <c r="A14" s="312">
        <v>13</v>
      </c>
      <c r="B14" s="321" t="s">
        <v>633</v>
      </c>
      <c r="C14" s="323" t="s">
        <v>447</v>
      </c>
      <c r="D14" s="324" t="s">
        <v>35</v>
      </c>
      <c r="E14" s="315"/>
      <c r="F14" s="315"/>
      <c r="G14" s="315"/>
      <c r="H14" s="315"/>
      <c r="I14" s="315"/>
      <c r="J14" s="315"/>
      <c r="K14" s="316"/>
      <c r="L14" s="316"/>
      <c r="M14" s="316"/>
      <c r="N14" s="316"/>
      <c r="O14" s="316"/>
      <c r="P14" s="316"/>
      <c r="Q14" s="316"/>
      <c r="R14" s="316"/>
      <c r="S14" s="316"/>
      <c r="T14" s="316"/>
      <c r="U14" s="316"/>
      <c r="V14" s="316"/>
      <c r="W14" s="316"/>
      <c r="X14" s="316"/>
      <c r="Y14" s="316"/>
      <c r="Z14" s="316"/>
      <c r="AA14" s="316"/>
      <c r="AB14" s="316"/>
      <c r="AC14" s="316"/>
      <c r="AD14" s="316"/>
      <c r="AE14" s="316"/>
      <c r="AF14" s="316"/>
      <c r="AG14" s="316"/>
      <c r="AH14" s="316"/>
      <c r="AI14" s="316"/>
      <c r="AJ14" s="316"/>
      <c r="AK14" s="316"/>
      <c r="AL14" s="316"/>
      <c r="AM14" s="316"/>
      <c r="AN14" s="316"/>
      <c r="AO14" s="316"/>
      <c r="AP14" s="316"/>
      <c r="AQ14" s="316"/>
      <c r="AR14" s="316"/>
      <c r="AS14" s="316"/>
      <c r="AT14" s="316"/>
      <c r="AU14" s="316"/>
      <c r="AV14" s="316"/>
      <c r="AW14" s="316"/>
      <c r="AX14" s="316"/>
      <c r="AY14" s="316"/>
      <c r="AZ14" s="316"/>
      <c r="BA14" s="316"/>
      <c r="BB14" s="316"/>
      <c r="BC14" s="316"/>
      <c r="BD14" s="316"/>
      <c r="BE14" s="316"/>
      <c r="BF14" s="316"/>
      <c r="BG14" s="316"/>
      <c r="BH14" s="316"/>
      <c r="BI14" s="316"/>
      <c r="BJ14" s="316"/>
      <c r="BK14" s="316"/>
      <c r="BL14" s="316"/>
      <c r="BM14" s="316"/>
      <c r="BN14" s="316"/>
      <c r="BO14" s="316"/>
      <c r="BP14" s="316"/>
      <c r="BQ14" s="316"/>
      <c r="BR14" s="316"/>
      <c r="BS14" s="316"/>
      <c r="BT14" s="316"/>
      <c r="BU14" s="316"/>
      <c r="BV14" s="316"/>
      <c r="BW14" s="316"/>
      <c r="BX14" s="316"/>
      <c r="BY14" s="316"/>
      <c r="BZ14" s="316"/>
      <c r="CA14" s="316"/>
      <c r="CB14" s="316"/>
      <c r="CC14" s="316"/>
      <c r="CD14" s="316"/>
      <c r="CE14" s="316"/>
      <c r="CF14" s="316"/>
      <c r="CG14" s="316"/>
      <c r="CH14" s="316"/>
      <c r="CI14" s="316"/>
      <c r="CJ14" s="316"/>
      <c r="CK14" s="316"/>
      <c r="CL14" s="316"/>
      <c r="CM14" s="316"/>
      <c r="CN14" s="316"/>
      <c r="CO14" s="316"/>
      <c r="CP14" s="316"/>
      <c r="CQ14" s="316"/>
    </row>
    <row r="15" spans="1:95" ht="43.2" customHeight="1" x14ac:dyDescent="0.3">
      <c r="A15" s="312">
        <v>14</v>
      </c>
      <c r="B15" s="320" t="s">
        <v>454</v>
      </c>
      <c r="C15" s="323" t="s">
        <v>447</v>
      </c>
      <c r="D15" s="324" t="s">
        <v>46</v>
      </c>
      <c r="E15" s="313"/>
      <c r="F15" s="313"/>
      <c r="G15" s="313"/>
      <c r="H15" s="313"/>
      <c r="I15" s="313"/>
      <c r="J15" s="313"/>
    </row>
    <row r="16" spans="1:95" ht="43.2" customHeight="1" x14ac:dyDescent="0.3">
      <c r="A16" s="312">
        <v>15</v>
      </c>
      <c r="B16" s="320" t="s">
        <v>446</v>
      </c>
      <c r="C16" s="323" t="s">
        <v>447</v>
      </c>
      <c r="D16" s="324" t="s">
        <v>448</v>
      </c>
      <c r="E16" s="313"/>
      <c r="F16" s="313"/>
      <c r="G16" s="313"/>
      <c r="H16" s="313"/>
      <c r="I16" s="313"/>
      <c r="J16" s="313"/>
    </row>
    <row r="17" spans="1:95" ht="43.2" customHeight="1" x14ac:dyDescent="0.3">
      <c r="A17" s="312">
        <v>16</v>
      </c>
      <c r="B17" s="320" t="s">
        <v>451</v>
      </c>
      <c r="C17" s="323" t="s">
        <v>447</v>
      </c>
      <c r="D17" s="324" t="s">
        <v>452</v>
      </c>
      <c r="E17" s="313"/>
      <c r="F17" s="313"/>
      <c r="G17" s="313"/>
      <c r="H17" s="313"/>
      <c r="I17" s="313"/>
      <c r="J17" s="313"/>
    </row>
    <row r="18" spans="1:95" ht="43.2" customHeight="1" x14ac:dyDescent="0.3">
      <c r="A18" s="312">
        <v>17</v>
      </c>
      <c r="B18" s="320" t="s">
        <v>638</v>
      </c>
      <c r="C18" s="323" t="s">
        <v>640</v>
      </c>
      <c r="D18" s="324">
        <v>32</v>
      </c>
      <c r="E18" s="313"/>
      <c r="F18" s="313"/>
      <c r="G18" s="313"/>
      <c r="H18" s="313"/>
      <c r="I18" s="313"/>
      <c r="J18" s="313"/>
    </row>
    <row r="19" spans="1:95" ht="43.2" customHeight="1" x14ac:dyDescent="0.3">
      <c r="A19" s="312">
        <v>18</v>
      </c>
      <c r="B19" s="320" t="s">
        <v>465</v>
      </c>
      <c r="C19" s="323" t="s">
        <v>447</v>
      </c>
      <c r="D19" s="324" t="s">
        <v>456</v>
      </c>
      <c r="E19" s="313"/>
      <c r="F19" s="313"/>
      <c r="G19" s="313"/>
      <c r="H19" s="313"/>
      <c r="I19" s="313"/>
      <c r="J19" s="313"/>
    </row>
    <row r="20" spans="1:95" ht="43.2" customHeight="1" x14ac:dyDescent="0.3">
      <c r="A20" s="312">
        <v>19</v>
      </c>
      <c r="B20" s="320" t="s">
        <v>860</v>
      </c>
      <c r="C20" s="323" t="s">
        <v>617</v>
      </c>
      <c r="D20" s="324">
        <v>11</v>
      </c>
      <c r="E20" s="313"/>
      <c r="F20" s="313"/>
      <c r="G20" s="313"/>
      <c r="H20" s="313"/>
      <c r="I20" s="313"/>
      <c r="J20" s="313"/>
    </row>
    <row r="21" spans="1:95" ht="43.2" customHeight="1" x14ac:dyDescent="0.3">
      <c r="A21" s="312">
        <v>20</v>
      </c>
      <c r="B21" s="320" t="s">
        <v>819</v>
      </c>
      <c r="C21" s="323" t="s">
        <v>617</v>
      </c>
      <c r="D21" s="324" t="s">
        <v>820</v>
      </c>
      <c r="E21" s="313"/>
      <c r="F21" s="313"/>
      <c r="G21" s="313"/>
      <c r="H21" s="313"/>
      <c r="I21" s="313"/>
      <c r="J21" s="313"/>
    </row>
    <row r="22" spans="1:95" ht="43.2" customHeight="1" x14ac:dyDescent="0.3">
      <c r="A22" s="312">
        <v>21</v>
      </c>
      <c r="B22" s="320" t="s">
        <v>0</v>
      </c>
      <c r="C22" s="323" t="s">
        <v>42</v>
      </c>
      <c r="D22" s="324">
        <v>8</v>
      </c>
      <c r="E22" s="313"/>
      <c r="F22" s="313"/>
      <c r="G22" s="313"/>
      <c r="H22" s="313"/>
      <c r="I22" s="313"/>
      <c r="J22" s="313"/>
    </row>
    <row r="23" spans="1:95" ht="43.2" customHeight="1" x14ac:dyDescent="0.3">
      <c r="A23" s="312">
        <v>22</v>
      </c>
      <c r="B23" s="320" t="s">
        <v>68</v>
      </c>
      <c r="C23" s="323" t="s">
        <v>42</v>
      </c>
      <c r="D23" s="324">
        <v>10</v>
      </c>
      <c r="E23" s="313"/>
      <c r="F23" s="313"/>
      <c r="G23" s="313"/>
      <c r="H23" s="313"/>
      <c r="I23" s="313"/>
      <c r="J23" s="313"/>
    </row>
    <row r="24" spans="1:95" ht="43.2" customHeight="1" x14ac:dyDescent="0.3">
      <c r="A24" s="312">
        <v>23</v>
      </c>
      <c r="B24" s="320" t="s">
        <v>562</v>
      </c>
      <c r="C24" s="323" t="s">
        <v>39</v>
      </c>
      <c r="D24" s="324">
        <v>48</v>
      </c>
      <c r="E24" s="313"/>
      <c r="F24" s="313"/>
      <c r="G24" s="313"/>
      <c r="H24" s="313"/>
      <c r="I24" s="313"/>
      <c r="J24" s="313"/>
    </row>
    <row r="25" spans="1:95" ht="43.2" customHeight="1" x14ac:dyDescent="0.3">
      <c r="A25" s="312">
        <v>24</v>
      </c>
      <c r="B25" s="320" t="s">
        <v>639</v>
      </c>
      <c r="C25" s="323" t="s">
        <v>39</v>
      </c>
      <c r="D25" s="324" t="s">
        <v>641</v>
      </c>
      <c r="E25" s="313"/>
      <c r="F25" s="313"/>
      <c r="G25" s="313"/>
      <c r="H25" s="313"/>
      <c r="I25" s="313"/>
      <c r="J25" s="313"/>
    </row>
    <row r="26" spans="1:95" ht="43.2" customHeight="1" x14ac:dyDescent="0.3">
      <c r="A26" s="312">
        <v>25</v>
      </c>
      <c r="B26" s="320" t="s">
        <v>40</v>
      </c>
      <c r="C26" s="323" t="s">
        <v>39</v>
      </c>
      <c r="D26" s="324">
        <v>51</v>
      </c>
      <c r="E26" s="313"/>
      <c r="F26" s="313"/>
      <c r="G26" s="313"/>
      <c r="H26" s="313"/>
      <c r="I26" s="313"/>
      <c r="J26" s="313"/>
    </row>
    <row r="27" spans="1:95" ht="43.2" customHeight="1" x14ac:dyDescent="0.3">
      <c r="A27" s="312">
        <v>26</v>
      </c>
      <c r="B27" s="320" t="s">
        <v>1</v>
      </c>
      <c r="C27" s="323" t="s">
        <v>37</v>
      </c>
      <c r="D27" s="324">
        <v>5</v>
      </c>
      <c r="E27" s="313"/>
      <c r="F27" s="313"/>
      <c r="G27" s="313"/>
      <c r="H27" s="313"/>
      <c r="I27" s="313"/>
      <c r="J27" s="313"/>
    </row>
    <row r="28" spans="1:95" ht="43.2" customHeight="1" x14ac:dyDescent="0.3">
      <c r="A28" s="312">
        <v>27</v>
      </c>
      <c r="B28" s="320" t="s">
        <v>3</v>
      </c>
      <c r="C28" s="323" t="s">
        <v>44</v>
      </c>
      <c r="D28" s="324">
        <v>87</v>
      </c>
      <c r="E28" s="313"/>
      <c r="F28" s="313"/>
      <c r="G28" s="313"/>
      <c r="H28" s="313"/>
      <c r="I28" s="313"/>
      <c r="J28" s="313"/>
    </row>
    <row r="29" spans="1:95" ht="43.2" customHeight="1" x14ac:dyDescent="0.3">
      <c r="A29" s="312">
        <v>28</v>
      </c>
      <c r="B29" s="320" t="s">
        <v>59</v>
      </c>
      <c r="C29" s="323" t="s">
        <v>44</v>
      </c>
      <c r="D29" s="324" t="s">
        <v>60</v>
      </c>
      <c r="E29" s="313"/>
      <c r="F29" s="313"/>
      <c r="G29" s="313"/>
      <c r="H29" s="313"/>
      <c r="I29" s="313"/>
      <c r="J29" s="313"/>
    </row>
    <row r="30" spans="1:95" ht="43.2" customHeight="1" x14ac:dyDescent="0.3">
      <c r="A30" s="312">
        <v>29</v>
      </c>
      <c r="B30" s="320" t="s">
        <v>276</v>
      </c>
      <c r="C30" s="323" t="s">
        <v>310</v>
      </c>
      <c r="D30" s="324" t="s">
        <v>311</v>
      </c>
      <c r="E30" s="313"/>
      <c r="F30" s="313"/>
      <c r="G30" s="313"/>
      <c r="H30" s="313"/>
      <c r="I30" s="313"/>
      <c r="J30" s="313"/>
    </row>
    <row r="31" spans="1:95" ht="43.2" customHeight="1" x14ac:dyDescent="0.3">
      <c r="A31" s="312">
        <v>30</v>
      </c>
      <c r="B31" s="320" t="s">
        <v>4</v>
      </c>
      <c r="C31" s="323" t="s">
        <v>43</v>
      </c>
      <c r="D31" s="324">
        <v>19</v>
      </c>
      <c r="E31" s="313"/>
      <c r="F31" s="313"/>
      <c r="G31" s="313"/>
      <c r="H31" s="313"/>
      <c r="I31" s="313"/>
      <c r="J31" s="313"/>
    </row>
    <row r="32" spans="1:95" s="316" customFormat="1" ht="43.2" customHeight="1" x14ac:dyDescent="0.3">
      <c r="A32" s="312">
        <v>31</v>
      </c>
      <c r="B32" s="320" t="s">
        <v>563</v>
      </c>
      <c r="C32" s="323" t="s">
        <v>424</v>
      </c>
      <c r="D32" s="324">
        <v>3</v>
      </c>
      <c r="E32" s="313"/>
      <c r="F32" s="313"/>
      <c r="G32" s="313"/>
      <c r="H32" s="313"/>
      <c r="I32" s="313"/>
      <c r="J32" s="313"/>
      <c r="K32" s="314"/>
      <c r="L32" s="314"/>
      <c r="M32" s="314"/>
      <c r="N32" s="314"/>
      <c r="O32" s="314"/>
      <c r="P32" s="314"/>
      <c r="Q32" s="314"/>
      <c r="R32" s="314"/>
      <c r="S32" s="314"/>
      <c r="T32" s="314"/>
      <c r="U32" s="314"/>
      <c r="V32" s="314"/>
      <c r="W32" s="314"/>
      <c r="X32" s="314"/>
      <c r="Y32" s="314"/>
      <c r="Z32" s="314"/>
      <c r="AA32" s="314"/>
      <c r="AB32" s="314"/>
      <c r="AC32" s="314"/>
      <c r="AD32" s="314"/>
      <c r="AE32" s="314"/>
      <c r="AF32" s="314"/>
      <c r="AG32" s="314"/>
      <c r="AH32" s="314"/>
      <c r="AI32" s="314"/>
      <c r="AJ32" s="314"/>
      <c r="AK32" s="314"/>
      <c r="AL32" s="314"/>
      <c r="AM32" s="314"/>
      <c r="AN32" s="314"/>
      <c r="AO32" s="314"/>
      <c r="AP32" s="314"/>
      <c r="AQ32" s="314"/>
      <c r="AR32" s="314"/>
      <c r="AS32" s="314"/>
      <c r="AT32" s="314"/>
      <c r="AU32" s="314"/>
      <c r="AV32" s="314"/>
      <c r="AW32" s="314"/>
      <c r="AX32" s="314"/>
      <c r="AY32" s="314"/>
      <c r="AZ32" s="314"/>
      <c r="BA32" s="314"/>
      <c r="BB32" s="314"/>
      <c r="BC32" s="314"/>
      <c r="BD32" s="314"/>
      <c r="BE32" s="314"/>
      <c r="BF32" s="314"/>
      <c r="BG32" s="314"/>
      <c r="BH32" s="314"/>
      <c r="BI32" s="314"/>
      <c r="BJ32" s="314"/>
      <c r="BK32" s="314"/>
      <c r="BL32" s="314"/>
      <c r="BM32" s="314"/>
      <c r="BN32" s="314"/>
      <c r="BO32" s="314"/>
      <c r="BP32" s="314"/>
      <c r="BQ32" s="314"/>
      <c r="BR32" s="314"/>
      <c r="BS32" s="314"/>
      <c r="BT32" s="314"/>
      <c r="BU32" s="314"/>
      <c r="BV32" s="314"/>
      <c r="BW32" s="314"/>
      <c r="BX32" s="314"/>
      <c r="BY32" s="314"/>
      <c r="BZ32" s="314"/>
      <c r="CA32" s="314"/>
      <c r="CB32" s="314"/>
      <c r="CC32" s="314"/>
      <c r="CD32" s="314"/>
      <c r="CE32" s="314"/>
      <c r="CF32" s="314"/>
      <c r="CG32" s="314"/>
      <c r="CH32" s="314"/>
      <c r="CI32" s="314"/>
      <c r="CJ32" s="314"/>
      <c r="CK32" s="314"/>
      <c r="CL32" s="314"/>
      <c r="CM32" s="314"/>
      <c r="CN32" s="314"/>
      <c r="CO32" s="314"/>
      <c r="CP32" s="314"/>
      <c r="CQ32" s="314"/>
    </row>
    <row r="33" spans="1:10" ht="43.2" customHeight="1" x14ac:dyDescent="0.3">
      <c r="A33" s="312">
        <v>32</v>
      </c>
      <c r="B33" s="321" t="s">
        <v>643</v>
      </c>
      <c r="C33" s="323" t="s">
        <v>424</v>
      </c>
      <c r="D33" s="324">
        <v>7</v>
      </c>
      <c r="E33" s="315"/>
      <c r="F33" s="315"/>
      <c r="G33" s="315"/>
      <c r="H33" s="315"/>
      <c r="I33" s="315"/>
      <c r="J33" s="315"/>
    </row>
    <row r="34" spans="1:10" ht="43.2" customHeight="1" x14ac:dyDescent="0.3">
      <c r="A34" s="312">
        <v>33</v>
      </c>
      <c r="B34" s="320" t="s">
        <v>647</v>
      </c>
      <c r="C34" s="323" t="s">
        <v>424</v>
      </c>
      <c r="D34" s="324">
        <v>9</v>
      </c>
      <c r="E34" s="313"/>
      <c r="F34" s="313"/>
      <c r="G34" s="313"/>
      <c r="H34" s="313"/>
      <c r="I34" s="313"/>
      <c r="J34" s="313"/>
    </row>
    <row r="35" spans="1:10" ht="43.2" customHeight="1" x14ac:dyDescent="0.3">
      <c r="A35" s="312">
        <v>34</v>
      </c>
      <c r="B35" s="320" t="s">
        <v>765</v>
      </c>
      <c r="C35" s="323" t="s">
        <v>424</v>
      </c>
      <c r="D35" s="324" t="s">
        <v>35</v>
      </c>
      <c r="E35" s="313"/>
      <c r="F35" s="313"/>
      <c r="G35" s="313"/>
      <c r="H35" s="313"/>
      <c r="I35" s="313"/>
      <c r="J35" s="313"/>
    </row>
    <row r="36" spans="1:10" ht="43.2" customHeight="1" x14ac:dyDescent="0.3">
      <c r="A36" s="312">
        <v>35</v>
      </c>
      <c r="B36" s="320" t="s">
        <v>773</v>
      </c>
      <c r="C36" s="323" t="s">
        <v>424</v>
      </c>
      <c r="D36" s="324">
        <v>13</v>
      </c>
      <c r="E36" s="313"/>
      <c r="F36" s="313"/>
      <c r="G36" s="313"/>
      <c r="H36" s="313"/>
      <c r="I36" s="313"/>
      <c r="J36" s="313"/>
    </row>
    <row r="37" spans="1:10" ht="43.2" customHeight="1" x14ac:dyDescent="0.3">
      <c r="A37" s="312">
        <v>36</v>
      </c>
      <c r="B37" s="320" t="s">
        <v>822</v>
      </c>
      <c r="C37" s="323" t="s">
        <v>424</v>
      </c>
      <c r="D37" s="324">
        <v>15</v>
      </c>
      <c r="E37" s="313"/>
      <c r="F37" s="313"/>
      <c r="G37" s="313"/>
      <c r="H37" s="313"/>
      <c r="I37" s="313"/>
      <c r="J37" s="313"/>
    </row>
    <row r="38" spans="1:10" ht="43.2" customHeight="1" x14ac:dyDescent="0.3">
      <c r="A38" s="312">
        <v>37</v>
      </c>
      <c r="B38" s="320" t="s">
        <v>421</v>
      </c>
      <c r="C38" s="323" t="s">
        <v>424</v>
      </c>
      <c r="D38" s="324">
        <v>21</v>
      </c>
      <c r="E38" s="313"/>
      <c r="F38" s="313"/>
      <c r="G38" s="313"/>
      <c r="H38" s="313"/>
      <c r="I38" s="313"/>
      <c r="J38" s="313"/>
    </row>
    <row r="39" spans="1:10" ht="43.2" customHeight="1" x14ac:dyDescent="0.3">
      <c r="A39" s="312">
        <v>38</v>
      </c>
      <c r="B39" s="320" t="s">
        <v>466</v>
      </c>
      <c r="C39" s="323" t="s">
        <v>425</v>
      </c>
      <c r="D39" s="324">
        <v>15</v>
      </c>
      <c r="E39" s="313"/>
      <c r="F39" s="313"/>
      <c r="G39" s="313"/>
      <c r="H39" s="313"/>
      <c r="I39" s="313"/>
      <c r="J39" s="313"/>
    </row>
    <row r="40" spans="1:10" ht="43.2" customHeight="1" x14ac:dyDescent="0.3">
      <c r="A40" s="312">
        <v>39</v>
      </c>
      <c r="B40" s="320" t="s">
        <v>457</v>
      </c>
      <c r="C40" s="323" t="s">
        <v>425</v>
      </c>
      <c r="D40" s="324">
        <v>13</v>
      </c>
      <c r="E40" s="313"/>
      <c r="F40" s="313"/>
      <c r="G40" s="313"/>
      <c r="H40" s="313"/>
      <c r="I40" s="313"/>
      <c r="J40" s="313"/>
    </row>
    <row r="41" spans="1:10" ht="43.2" customHeight="1" x14ac:dyDescent="0.3">
      <c r="A41" s="312">
        <v>40</v>
      </c>
      <c r="B41" s="320" t="s">
        <v>412</v>
      </c>
      <c r="C41" s="323" t="s">
        <v>413</v>
      </c>
      <c r="D41" s="324">
        <v>18</v>
      </c>
      <c r="E41" s="313"/>
      <c r="F41" s="313"/>
      <c r="G41" s="313"/>
      <c r="H41" s="313"/>
      <c r="I41" s="313"/>
      <c r="J41" s="313"/>
    </row>
    <row r="42" spans="1:10" ht="43.2" customHeight="1" x14ac:dyDescent="0.3">
      <c r="A42" s="312">
        <v>41</v>
      </c>
      <c r="B42" s="320" t="s">
        <v>422</v>
      </c>
      <c r="C42" s="323" t="s">
        <v>425</v>
      </c>
      <c r="D42" s="324">
        <v>11</v>
      </c>
      <c r="E42" s="313"/>
      <c r="F42" s="313"/>
      <c r="G42" s="313"/>
      <c r="H42" s="313"/>
      <c r="I42" s="313"/>
      <c r="J42" s="313"/>
    </row>
    <row r="43" spans="1:10" ht="43.2" customHeight="1" x14ac:dyDescent="0.3">
      <c r="A43" s="312">
        <v>42</v>
      </c>
      <c r="B43" s="320" t="s">
        <v>618</v>
      </c>
      <c r="C43" s="323" t="s">
        <v>413</v>
      </c>
      <c r="D43" s="324">
        <v>14</v>
      </c>
      <c r="E43" s="313"/>
      <c r="F43" s="313"/>
      <c r="G43" s="313"/>
      <c r="H43" s="313"/>
      <c r="I43" s="313"/>
      <c r="J43" s="313"/>
    </row>
    <row r="44" spans="1:10" ht="43.2" customHeight="1" x14ac:dyDescent="0.3">
      <c r="A44" s="312">
        <v>43</v>
      </c>
      <c r="B44" s="320" t="s">
        <v>642</v>
      </c>
      <c r="C44" s="323" t="s">
        <v>413</v>
      </c>
      <c r="D44" s="324">
        <v>16</v>
      </c>
      <c r="E44" s="313"/>
      <c r="F44" s="313"/>
      <c r="G44" s="313"/>
      <c r="H44" s="313"/>
      <c r="I44" s="313"/>
      <c r="J44" s="313"/>
    </row>
  </sheetData>
  <sortState ref="A2:CQ44">
    <sortCondition ref="B2:B44"/>
  </sortState>
  <mergeCells count="1">
    <mergeCell ref="B1:D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Q57"/>
  <sheetViews>
    <sheetView view="pageBreakPreview" zoomScale="60" zoomScaleNormal="55" workbookViewId="0">
      <pane xSplit="2" ySplit="3" topLeftCell="C31" activePane="bottomRight" state="frozen"/>
      <selection activeCell="I14" sqref="I14"/>
      <selection pane="topRight" activeCell="I14" sqref="I14"/>
      <selection pane="bottomLeft" activeCell="I14" sqref="I14"/>
      <selection pane="bottomRight" activeCell="I14" sqref="I14"/>
    </sheetView>
  </sheetViews>
  <sheetFormatPr defaultColWidth="9.33203125" defaultRowHeight="40.4" customHeight="1" x14ac:dyDescent="0.3"/>
  <cols>
    <col min="1" max="1" width="7.44140625" style="135" customWidth="1"/>
    <col min="2" max="2" width="27.6640625" style="137" customWidth="1"/>
    <col min="3" max="3" width="32.33203125" style="135" hidden="1" customWidth="1"/>
    <col min="4" max="4" width="37.88671875" style="135" customWidth="1"/>
    <col min="5" max="5" width="11" style="135" customWidth="1"/>
    <col min="6" max="6" width="14.33203125" style="135" hidden="1" customWidth="1"/>
    <col min="7" max="7" width="29.6640625" style="198" hidden="1" customWidth="1"/>
    <col min="8" max="8" width="51.6640625" style="160" hidden="1" customWidth="1"/>
    <col min="9" max="9" width="63.6640625" style="135" hidden="1" customWidth="1"/>
    <col min="10" max="10" width="10.33203125" style="135" hidden="1" customWidth="1"/>
    <col min="11" max="11" width="22.33203125" style="138" customWidth="1"/>
    <col min="12" max="12" width="20.44140625" style="189" hidden="1" customWidth="1"/>
    <col min="13" max="13" width="26.6640625" style="138" hidden="1" customWidth="1"/>
    <col min="14" max="14" width="22.44140625" style="138" hidden="1" customWidth="1"/>
    <col min="15" max="15" width="37.44140625" style="138" hidden="1" customWidth="1"/>
    <col min="16" max="16" width="14" style="138" hidden="1" customWidth="1"/>
    <col min="17" max="17" width="36.44140625" style="138" hidden="1" customWidth="1"/>
    <col min="18" max="18" width="14.6640625" style="135" customWidth="1"/>
    <col min="19" max="19" width="13.33203125" style="135" customWidth="1"/>
    <col min="20" max="20" width="19.6640625" style="135" hidden="1" customWidth="1"/>
    <col min="21" max="21" width="15.44140625" style="135" customWidth="1"/>
    <col min="22" max="22" width="11.44140625" style="135" hidden="1" customWidth="1"/>
    <col min="23" max="23" width="12.44140625" style="135" hidden="1" customWidth="1"/>
    <col min="24" max="24" width="12.33203125" style="135" hidden="1" customWidth="1"/>
    <col min="25" max="25" width="11.44140625" style="135" hidden="1" customWidth="1"/>
    <col min="26" max="26" width="13" style="135" hidden="1" customWidth="1"/>
    <col min="27" max="27" width="15.33203125" style="135" hidden="1" customWidth="1"/>
    <col min="28" max="28" width="17.44140625" style="139" hidden="1" customWidth="1"/>
    <col min="29" max="29" width="19.44140625" style="139" hidden="1" customWidth="1"/>
    <col min="30" max="31" width="18.33203125" style="139" hidden="1" customWidth="1"/>
    <col min="32" max="32" width="13.33203125" style="139" hidden="1" customWidth="1"/>
    <col min="33" max="33" width="16.44140625" style="139" hidden="1" customWidth="1"/>
    <col min="34" max="35" width="14.44140625" style="136" hidden="1" customWidth="1"/>
    <col min="36" max="36" width="14.33203125" style="136" hidden="1" customWidth="1"/>
    <col min="37" max="37" width="15.33203125" style="136" hidden="1" customWidth="1"/>
    <col min="38" max="38" width="19" style="137" hidden="1" customWidth="1"/>
    <col min="39" max="39" width="21.33203125" style="137" hidden="1" customWidth="1"/>
    <col min="40" max="40" width="14.6640625" style="137" hidden="1" customWidth="1"/>
    <col min="41" max="41" width="18.6640625" style="134" hidden="1" customWidth="1"/>
    <col min="42" max="42" width="14.33203125" style="134" hidden="1" customWidth="1"/>
    <col min="43" max="43" width="13.33203125" style="134" hidden="1" customWidth="1"/>
    <col min="44" max="44" width="13.44140625" style="135" hidden="1" customWidth="1"/>
    <col min="45" max="45" width="16.6640625" style="135" hidden="1" customWidth="1"/>
    <col min="46" max="47" width="15.33203125" style="134" hidden="1" customWidth="1"/>
    <col min="48" max="48" width="13.6640625" style="134" hidden="1" customWidth="1"/>
    <col min="49" max="55" width="13" style="134" hidden="1" customWidth="1"/>
    <col min="56" max="56" width="14.44140625" style="134" hidden="1" customWidth="1"/>
    <col min="57" max="57" width="11.33203125" style="134" hidden="1" customWidth="1"/>
    <col min="58" max="58" width="9.33203125" style="134" hidden="1" customWidth="1"/>
    <col min="59" max="59" width="10.6640625" style="134" customWidth="1"/>
    <col min="60" max="60" width="12.6640625" style="134" hidden="1" customWidth="1"/>
    <col min="61" max="61" width="12" style="134" customWidth="1"/>
    <col min="62" max="62" width="11.6640625" style="134" customWidth="1"/>
    <col min="63" max="63" width="14.33203125" style="201" hidden="1" customWidth="1"/>
    <col min="64" max="73" width="9.33203125" style="201" hidden="1" customWidth="1"/>
    <col min="74" max="78" width="15" style="202" hidden="1" customWidth="1"/>
    <col min="79" max="83" width="12.44140625" style="202" hidden="1" customWidth="1"/>
    <col min="84" max="84" width="14.33203125" style="202" hidden="1" customWidth="1"/>
    <col min="85" max="85" width="13.6640625" style="202" hidden="1" customWidth="1"/>
    <col min="86" max="86" width="11.6640625" style="202" hidden="1" customWidth="1"/>
    <col min="87" max="87" width="14.33203125" style="202" hidden="1" customWidth="1"/>
    <col min="88" max="88" width="6.6640625" style="202" hidden="1" customWidth="1"/>
    <col min="89" max="89" width="8.33203125" style="201" hidden="1" customWidth="1"/>
    <col min="90" max="90" width="13.6640625" style="201" hidden="1" customWidth="1"/>
    <col min="91" max="91" width="8.44140625" style="201" hidden="1" customWidth="1"/>
    <col min="92" max="92" width="10.44140625" style="201" hidden="1" customWidth="1"/>
    <col min="93" max="93" width="9.6640625" style="201" hidden="1" customWidth="1"/>
    <col min="94" max="94" width="14.33203125" style="201" hidden="1" customWidth="1"/>
    <col min="95" max="95" width="27.6640625" style="203" customWidth="1"/>
    <col min="96" max="16384" width="9.33203125" style="201"/>
  </cols>
  <sheetData>
    <row r="1" spans="1:95" ht="40.4" customHeight="1" x14ac:dyDescent="0.3">
      <c r="A1" s="226" t="s">
        <v>662</v>
      </c>
      <c r="B1" s="140"/>
      <c r="C1" s="227"/>
      <c r="D1" s="227"/>
      <c r="E1" s="227"/>
      <c r="F1" s="227"/>
      <c r="G1" s="228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9"/>
      <c r="AI1" s="229"/>
      <c r="AJ1" s="229"/>
      <c r="AK1" s="229"/>
      <c r="AL1" s="230"/>
      <c r="AM1" s="230"/>
      <c r="AN1" s="230"/>
      <c r="AO1" s="140"/>
      <c r="AP1" s="140"/>
      <c r="AQ1" s="140"/>
      <c r="AR1" s="227"/>
      <c r="AS1" s="227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1"/>
      <c r="BL1" s="141"/>
      <c r="BM1" s="141"/>
      <c r="BN1" s="141"/>
      <c r="BO1" s="141"/>
      <c r="BP1" s="141"/>
      <c r="BQ1" s="141"/>
      <c r="BR1" s="141"/>
      <c r="BS1" s="141"/>
      <c r="BT1" s="141"/>
      <c r="BU1" s="141"/>
      <c r="BV1" s="142"/>
      <c r="BW1" s="142"/>
      <c r="BX1" s="142"/>
      <c r="BY1" s="142"/>
      <c r="BZ1" s="142"/>
      <c r="CA1" s="142"/>
      <c r="CB1" s="142"/>
      <c r="CC1" s="142"/>
      <c r="CD1" s="142"/>
      <c r="CE1" s="142"/>
      <c r="CF1" s="142"/>
      <c r="CG1" s="142"/>
      <c r="CH1" s="142"/>
      <c r="CI1" s="142"/>
      <c r="CJ1" s="142"/>
      <c r="CK1" s="141"/>
      <c r="CL1" s="141"/>
      <c r="CM1" s="141"/>
      <c r="CN1" s="141"/>
      <c r="CO1" s="141"/>
      <c r="CP1" s="141"/>
      <c r="CQ1" s="245"/>
    </row>
    <row r="2" spans="1:95" s="200" customFormat="1" ht="40.4" customHeight="1" x14ac:dyDescent="0.3">
      <c r="A2" s="520" t="s">
        <v>76</v>
      </c>
      <c r="B2" s="520" t="s">
        <v>666</v>
      </c>
      <c r="C2" s="520" t="s">
        <v>74</v>
      </c>
      <c r="D2" s="521" t="s">
        <v>65</v>
      </c>
      <c r="E2" s="521"/>
      <c r="F2" s="521"/>
      <c r="G2" s="522" t="s">
        <v>683</v>
      </c>
      <c r="H2" s="524" t="s">
        <v>683</v>
      </c>
      <c r="I2" s="520" t="s">
        <v>13</v>
      </c>
      <c r="J2" s="520" t="s">
        <v>409</v>
      </c>
      <c r="K2" s="519" t="s">
        <v>77</v>
      </c>
      <c r="L2" s="520" t="s">
        <v>630</v>
      </c>
      <c r="M2" s="519" t="s">
        <v>621</v>
      </c>
      <c r="N2" s="519" t="s">
        <v>589</v>
      </c>
      <c r="O2" s="519" t="s">
        <v>561</v>
      </c>
      <c r="P2" s="519" t="s">
        <v>381</v>
      </c>
      <c r="Q2" s="519" t="s">
        <v>382</v>
      </c>
      <c r="R2" s="520" t="s">
        <v>753</v>
      </c>
      <c r="S2" s="520" t="s">
        <v>22</v>
      </c>
      <c r="T2" s="520" t="s">
        <v>225</v>
      </c>
      <c r="U2" s="520" t="s">
        <v>324</v>
      </c>
      <c r="V2" s="520" t="s">
        <v>321</v>
      </c>
      <c r="W2" s="520" t="s">
        <v>70</v>
      </c>
      <c r="X2" s="520" t="s">
        <v>71</v>
      </c>
      <c r="Y2" s="520" t="s">
        <v>72</v>
      </c>
      <c r="Z2" s="520" t="s">
        <v>73</v>
      </c>
      <c r="AA2" s="520" t="s">
        <v>637</v>
      </c>
      <c r="AB2" s="527" t="s">
        <v>862</v>
      </c>
      <c r="AC2" s="528" t="s">
        <v>69</v>
      </c>
      <c r="AD2" s="526" t="s">
        <v>377</v>
      </c>
      <c r="AE2" s="529" t="s">
        <v>646</v>
      </c>
      <c r="AF2" s="530" t="s">
        <v>757</v>
      </c>
      <c r="AG2" s="530" t="s">
        <v>758</v>
      </c>
      <c r="AH2" s="532" t="s">
        <v>374</v>
      </c>
      <c r="AI2" s="526" t="s">
        <v>375</v>
      </c>
      <c r="AJ2" s="526" t="s">
        <v>376</v>
      </c>
      <c r="AK2" s="526" t="s">
        <v>379</v>
      </c>
      <c r="AL2" s="526" t="s">
        <v>522</v>
      </c>
      <c r="AM2" s="526" t="s">
        <v>400</v>
      </c>
      <c r="AN2" s="520" t="s">
        <v>389</v>
      </c>
      <c r="AO2" s="520" t="s">
        <v>352</v>
      </c>
      <c r="AP2" s="520" t="s">
        <v>353</v>
      </c>
      <c r="AQ2" s="520" t="s">
        <v>106</v>
      </c>
      <c r="AR2" s="520" t="s">
        <v>351</v>
      </c>
      <c r="AS2" s="520" t="s">
        <v>107</v>
      </c>
      <c r="AT2" s="520" t="s">
        <v>119</v>
      </c>
      <c r="AU2" s="520" t="s">
        <v>120</v>
      </c>
      <c r="AV2" s="520" t="s">
        <v>114</v>
      </c>
      <c r="AW2" s="520" t="s">
        <v>115</v>
      </c>
      <c r="AX2" s="520" t="s">
        <v>116</v>
      </c>
      <c r="AY2" s="520" t="s">
        <v>117</v>
      </c>
      <c r="AZ2" s="520" t="s">
        <v>118</v>
      </c>
      <c r="BA2" s="520" t="s">
        <v>747</v>
      </c>
      <c r="BB2" s="520" t="s">
        <v>325</v>
      </c>
      <c r="BC2" s="520" t="s">
        <v>312</v>
      </c>
      <c r="BD2" s="520" t="s">
        <v>23</v>
      </c>
      <c r="BE2" s="520" t="s">
        <v>24</v>
      </c>
      <c r="BF2" s="520" t="s">
        <v>25</v>
      </c>
      <c r="BG2" s="520" t="s">
        <v>80</v>
      </c>
      <c r="BH2" s="520" t="s">
        <v>326</v>
      </c>
      <c r="BI2" s="520" t="s">
        <v>81</v>
      </c>
      <c r="BJ2" s="533" t="s">
        <v>50</v>
      </c>
      <c r="BK2" s="534"/>
      <c r="BL2" s="536" t="s">
        <v>51</v>
      </c>
      <c r="BM2" s="536"/>
      <c r="BN2" s="536"/>
      <c r="BO2" s="536"/>
      <c r="BP2" s="536"/>
      <c r="BQ2" s="231" t="s">
        <v>52</v>
      </c>
      <c r="BR2" s="231"/>
      <c r="BS2" s="231"/>
      <c r="BT2" s="231"/>
      <c r="BU2" s="231"/>
      <c r="BV2" s="535" t="s">
        <v>89</v>
      </c>
      <c r="BW2" s="535" t="s">
        <v>90</v>
      </c>
      <c r="BX2" s="535" t="s">
        <v>91</v>
      </c>
      <c r="BY2" s="535" t="s">
        <v>92</v>
      </c>
      <c r="BZ2" s="535" t="s">
        <v>93</v>
      </c>
      <c r="CA2" s="535" t="s">
        <v>94</v>
      </c>
      <c r="CB2" s="535" t="s">
        <v>95</v>
      </c>
      <c r="CC2" s="535" t="s">
        <v>96</v>
      </c>
      <c r="CD2" s="535" t="s">
        <v>97</v>
      </c>
      <c r="CE2" s="535" t="s">
        <v>99</v>
      </c>
      <c r="CF2" s="535" t="s">
        <v>98</v>
      </c>
      <c r="CG2" s="535" t="s">
        <v>328</v>
      </c>
      <c r="CH2" s="535"/>
      <c r="CI2" s="535"/>
      <c r="CJ2" s="535"/>
      <c r="CK2" s="537" t="s">
        <v>105</v>
      </c>
      <c r="CL2" s="537" t="s">
        <v>354</v>
      </c>
      <c r="CM2" s="537" t="s">
        <v>570</v>
      </c>
      <c r="CN2" s="537" t="s">
        <v>355</v>
      </c>
      <c r="CO2" s="537" t="s">
        <v>356</v>
      </c>
      <c r="CP2" s="537" t="s">
        <v>357</v>
      </c>
      <c r="CQ2" s="248" t="s">
        <v>50</v>
      </c>
    </row>
    <row r="3" spans="1:95" s="200" customFormat="1" ht="84.7" customHeight="1" x14ac:dyDescent="0.3">
      <c r="A3" s="520"/>
      <c r="B3" s="520"/>
      <c r="C3" s="520"/>
      <c r="D3" s="249" t="s">
        <v>26</v>
      </c>
      <c r="E3" s="249" t="s">
        <v>27</v>
      </c>
      <c r="F3" s="249" t="s">
        <v>526</v>
      </c>
      <c r="G3" s="523"/>
      <c r="H3" s="525"/>
      <c r="I3" s="520"/>
      <c r="J3" s="520"/>
      <c r="K3" s="519"/>
      <c r="L3" s="520"/>
      <c r="M3" s="519"/>
      <c r="N3" s="519"/>
      <c r="O3" s="519"/>
      <c r="P3" s="519"/>
      <c r="Q3" s="519"/>
      <c r="R3" s="520"/>
      <c r="S3" s="520"/>
      <c r="T3" s="520"/>
      <c r="U3" s="520"/>
      <c r="V3" s="520"/>
      <c r="W3" s="520"/>
      <c r="X3" s="520"/>
      <c r="Y3" s="520"/>
      <c r="Z3" s="520"/>
      <c r="AA3" s="520"/>
      <c r="AB3" s="527"/>
      <c r="AC3" s="528"/>
      <c r="AD3" s="526"/>
      <c r="AE3" s="529"/>
      <c r="AF3" s="531"/>
      <c r="AG3" s="531"/>
      <c r="AH3" s="532"/>
      <c r="AI3" s="526"/>
      <c r="AJ3" s="526"/>
      <c r="AK3" s="526"/>
      <c r="AL3" s="526"/>
      <c r="AM3" s="526"/>
      <c r="AN3" s="520"/>
      <c r="AO3" s="520"/>
      <c r="AP3" s="520"/>
      <c r="AQ3" s="520"/>
      <c r="AR3" s="520"/>
      <c r="AS3" s="520"/>
      <c r="AT3" s="520"/>
      <c r="AU3" s="520"/>
      <c r="AV3" s="520"/>
      <c r="AW3" s="520"/>
      <c r="AX3" s="520"/>
      <c r="AY3" s="520"/>
      <c r="AZ3" s="520"/>
      <c r="BA3" s="520"/>
      <c r="BB3" s="520"/>
      <c r="BC3" s="520"/>
      <c r="BD3" s="520"/>
      <c r="BE3" s="520"/>
      <c r="BF3" s="520"/>
      <c r="BG3" s="520"/>
      <c r="BH3" s="520"/>
      <c r="BI3" s="520"/>
      <c r="BJ3" s="247" t="s">
        <v>53</v>
      </c>
      <c r="BK3" s="246" t="s">
        <v>83</v>
      </c>
      <c r="BL3" s="246" t="s">
        <v>54</v>
      </c>
      <c r="BM3" s="246" t="s">
        <v>55</v>
      </c>
      <c r="BN3" s="246" t="s">
        <v>56</v>
      </c>
      <c r="BO3" s="246" t="s">
        <v>57</v>
      </c>
      <c r="BP3" s="246" t="s">
        <v>11</v>
      </c>
      <c r="BQ3" s="246" t="s">
        <v>55</v>
      </c>
      <c r="BR3" s="246" t="s">
        <v>56</v>
      </c>
      <c r="BS3" s="246" t="s">
        <v>57</v>
      </c>
      <c r="BT3" s="246" t="s">
        <v>327</v>
      </c>
      <c r="BU3" s="246" t="s">
        <v>11</v>
      </c>
      <c r="BV3" s="535"/>
      <c r="BW3" s="535"/>
      <c r="BX3" s="535"/>
      <c r="BY3" s="535"/>
      <c r="BZ3" s="535"/>
      <c r="CA3" s="535"/>
      <c r="CB3" s="535"/>
      <c r="CC3" s="535"/>
      <c r="CD3" s="535"/>
      <c r="CE3" s="535"/>
      <c r="CF3" s="535"/>
      <c r="CG3" s="232" t="s">
        <v>329</v>
      </c>
      <c r="CH3" s="232" t="s">
        <v>330</v>
      </c>
      <c r="CI3" s="232" t="s">
        <v>331</v>
      </c>
      <c r="CJ3" s="232" t="s">
        <v>332</v>
      </c>
      <c r="CK3" s="537"/>
      <c r="CL3" s="537"/>
      <c r="CM3" s="537"/>
      <c r="CN3" s="537"/>
      <c r="CO3" s="537"/>
      <c r="CP3" s="537"/>
      <c r="CQ3" s="248"/>
    </row>
    <row r="4" spans="1:95" ht="55.45" customHeight="1" x14ac:dyDescent="0.3">
      <c r="A4" s="128">
        <v>1</v>
      </c>
      <c r="B4" s="250" t="s">
        <v>31</v>
      </c>
      <c r="C4" s="128" t="s">
        <v>63</v>
      </c>
      <c r="D4" s="233" t="s">
        <v>29</v>
      </c>
      <c r="E4" s="128" t="s">
        <v>30</v>
      </c>
      <c r="F4" s="128">
        <v>423803</v>
      </c>
      <c r="G4" s="234" t="s">
        <v>689</v>
      </c>
      <c r="H4" s="235" t="s">
        <v>755</v>
      </c>
      <c r="I4" s="128" t="s">
        <v>464</v>
      </c>
      <c r="J4" s="128">
        <v>2006</v>
      </c>
      <c r="K4" s="163">
        <v>39048</v>
      </c>
      <c r="L4" s="128"/>
      <c r="M4" s="163" t="s">
        <v>622</v>
      </c>
      <c r="N4" s="163"/>
      <c r="O4" s="163" t="s">
        <v>574</v>
      </c>
      <c r="P4" s="236">
        <v>193</v>
      </c>
      <c r="Q4" s="236" t="s">
        <v>397</v>
      </c>
      <c r="R4" s="252">
        <v>9</v>
      </c>
      <c r="S4" s="252">
        <v>4</v>
      </c>
      <c r="T4" s="252" t="s">
        <v>224</v>
      </c>
      <c r="U4" s="252">
        <v>147</v>
      </c>
      <c r="V4" s="252">
        <f t="shared" ref="V4:V36" si="0">W4+X4+Y4+Z4+AA4</f>
        <v>154</v>
      </c>
      <c r="W4" s="252">
        <v>82</v>
      </c>
      <c r="X4" s="252">
        <v>30</v>
      </c>
      <c r="Y4" s="252">
        <v>24</v>
      </c>
      <c r="Z4" s="252">
        <v>18</v>
      </c>
      <c r="AA4" s="252"/>
      <c r="AB4" s="253">
        <v>332</v>
      </c>
      <c r="AC4" s="254">
        <f t="shared" ref="AC4:AC46" si="1">AE4+AD4</f>
        <v>13682.300000000001</v>
      </c>
      <c r="AD4" s="255">
        <v>12916.2</v>
      </c>
      <c r="AE4" s="255">
        <f t="shared" ref="AE4:AE18" si="2">AF4+AG4</f>
        <v>766.1</v>
      </c>
      <c r="AF4" s="256"/>
      <c r="AG4" s="256">
        <v>766.1</v>
      </c>
      <c r="AH4" s="257">
        <v>7681.9</v>
      </c>
      <c r="AI4" s="258">
        <v>5810.8</v>
      </c>
      <c r="AJ4" s="258">
        <v>925.9</v>
      </c>
      <c r="AK4" s="258" t="e">
        <f>#REF!</f>
        <v>#REF!</v>
      </c>
      <c r="AL4" s="259">
        <v>22181.4</v>
      </c>
      <c r="AM4" s="259">
        <v>21255.5</v>
      </c>
      <c r="AN4" s="260">
        <v>2338</v>
      </c>
      <c r="AO4" s="260">
        <v>5208</v>
      </c>
      <c r="AP4" s="261">
        <v>2088.3000000000002</v>
      </c>
      <c r="AQ4" s="261">
        <v>2088.3000000000002</v>
      </c>
      <c r="AR4" s="261">
        <v>1850.1</v>
      </c>
      <c r="AS4" s="261">
        <v>1666.5</v>
      </c>
      <c r="AT4" s="261">
        <v>4930</v>
      </c>
      <c r="AU4" s="261">
        <v>131.4</v>
      </c>
      <c r="AV4" s="261">
        <v>578</v>
      </c>
      <c r="AW4" s="261">
        <v>1588</v>
      </c>
      <c r="AX4" s="261">
        <v>1120</v>
      </c>
      <c r="AY4" s="261">
        <v>1468</v>
      </c>
      <c r="AZ4" s="261">
        <v>1100</v>
      </c>
      <c r="BA4" s="262">
        <v>167</v>
      </c>
      <c r="BB4" s="263">
        <f t="shared" ref="BB4:BB40" si="3">BA4/BC4/12</f>
        <v>0.11133333333333334</v>
      </c>
      <c r="BC4" s="259">
        <v>125</v>
      </c>
      <c r="BD4" s="264" t="s">
        <v>32</v>
      </c>
      <c r="BE4" s="264" t="s">
        <v>33</v>
      </c>
      <c r="BF4" s="264" t="s">
        <v>34</v>
      </c>
      <c r="BG4" s="265" t="s">
        <v>10</v>
      </c>
      <c r="BH4" s="265" t="s">
        <v>12</v>
      </c>
      <c r="BI4" s="265" t="s">
        <v>58</v>
      </c>
      <c r="BJ4" s="265">
        <v>4</v>
      </c>
      <c r="BK4" s="264">
        <v>2006</v>
      </c>
      <c r="BL4" s="266">
        <v>1</v>
      </c>
      <c r="BM4" s="266">
        <v>1</v>
      </c>
      <c r="BN4" s="266">
        <v>1</v>
      </c>
      <c r="BO4" s="266">
        <v>6</v>
      </c>
      <c r="BP4" s="266" t="s">
        <v>58</v>
      </c>
      <c r="BQ4" s="267">
        <v>1</v>
      </c>
      <c r="BR4" s="267">
        <v>1</v>
      </c>
      <c r="BS4" s="267">
        <v>1</v>
      </c>
      <c r="BT4" s="267" t="s">
        <v>58</v>
      </c>
      <c r="BU4" s="266" t="s">
        <v>58</v>
      </c>
      <c r="BV4" s="264">
        <v>1648</v>
      </c>
      <c r="BW4" s="264">
        <v>645</v>
      </c>
      <c r="BX4" s="264">
        <v>76</v>
      </c>
      <c r="BY4" s="264">
        <v>1256</v>
      </c>
      <c r="BZ4" s="264" t="s">
        <v>100</v>
      </c>
      <c r="CA4" s="264">
        <v>12</v>
      </c>
      <c r="CB4" s="264">
        <v>20</v>
      </c>
      <c r="CC4" s="264">
        <v>1</v>
      </c>
      <c r="CD4" s="264">
        <v>8</v>
      </c>
      <c r="CE4" s="264">
        <v>4</v>
      </c>
      <c r="CF4" s="264" t="s">
        <v>58</v>
      </c>
      <c r="CG4" s="264">
        <v>34.6</v>
      </c>
      <c r="CH4" s="264">
        <v>34.6</v>
      </c>
      <c r="CI4" s="268" t="s">
        <v>333</v>
      </c>
      <c r="CJ4" s="269">
        <v>40887</v>
      </c>
      <c r="CK4" s="270">
        <v>2124.1999999999998</v>
      </c>
      <c r="CL4" s="270">
        <v>2227.6</v>
      </c>
      <c r="CM4" s="270">
        <v>11.7</v>
      </c>
      <c r="CN4" s="270">
        <f>17.2+13.3</f>
        <v>30.5</v>
      </c>
      <c r="CO4" s="270">
        <v>4.7</v>
      </c>
      <c r="CP4" s="270">
        <v>57.3</v>
      </c>
      <c r="CQ4" s="271" t="s">
        <v>670</v>
      </c>
    </row>
    <row r="5" spans="1:95" ht="49.3" customHeight="1" x14ac:dyDescent="0.3">
      <c r="A5" s="128">
        <v>2</v>
      </c>
      <c r="B5" s="250" t="s">
        <v>36</v>
      </c>
      <c r="C5" s="128" t="s">
        <v>63</v>
      </c>
      <c r="D5" s="233" t="s">
        <v>29</v>
      </c>
      <c r="E5" s="128" t="s">
        <v>35</v>
      </c>
      <c r="F5" s="128">
        <v>423803</v>
      </c>
      <c r="G5" s="234" t="s">
        <v>689</v>
      </c>
      <c r="H5" s="235" t="s">
        <v>756</v>
      </c>
      <c r="I5" s="128" t="s">
        <v>464</v>
      </c>
      <c r="J5" s="128">
        <v>2007</v>
      </c>
      <c r="K5" s="163">
        <v>39437</v>
      </c>
      <c r="L5" s="128"/>
      <c r="M5" s="163" t="s">
        <v>622</v>
      </c>
      <c r="N5" s="163"/>
      <c r="O5" s="163" t="s">
        <v>574</v>
      </c>
      <c r="P5" s="236">
        <v>230</v>
      </c>
      <c r="Q5" s="236" t="s">
        <v>386</v>
      </c>
      <c r="R5" s="252">
        <v>9</v>
      </c>
      <c r="S5" s="252">
        <v>4</v>
      </c>
      <c r="T5" s="252" t="s">
        <v>223</v>
      </c>
      <c r="U5" s="252">
        <v>142</v>
      </c>
      <c r="V5" s="252">
        <f t="shared" si="0"/>
        <v>142</v>
      </c>
      <c r="W5" s="252">
        <v>62</v>
      </c>
      <c r="X5" s="252">
        <v>46</v>
      </c>
      <c r="Y5" s="252">
        <v>34</v>
      </c>
      <c r="Z5" s="252">
        <v>0</v>
      </c>
      <c r="AA5" s="252"/>
      <c r="AB5" s="253">
        <v>290</v>
      </c>
      <c r="AC5" s="254">
        <f t="shared" si="1"/>
        <v>14167.5</v>
      </c>
      <c r="AD5" s="255">
        <v>11983.5</v>
      </c>
      <c r="AE5" s="255">
        <f t="shared" si="2"/>
        <v>2184</v>
      </c>
      <c r="AF5" s="256"/>
      <c r="AG5" s="256">
        <v>2184</v>
      </c>
      <c r="AH5" s="257">
        <v>6555.9</v>
      </c>
      <c r="AI5" s="258">
        <v>5430.1</v>
      </c>
      <c r="AJ5" s="258">
        <v>773.1</v>
      </c>
      <c r="AK5" s="258" t="e">
        <f>#REF!</f>
        <v>#REF!</v>
      </c>
      <c r="AL5" s="259">
        <v>20654.8</v>
      </c>
      <c r="AM5" s="259">
        <v>19881.7</v>
      </c>
      <c r="AN5" s="260">
        <v>2899</v>
      </c>
      <c r="AO5" s="260">
        <v>8340</v>
      </c>
      <c r="AP5" s="261">
        <v>2821.9</v>
      </c>
      <c r="AQ5" s="261">
        <f>2090.3+731.6</f>
        <v>2821.9</v>
      </c>
      <c r="AR5" s="261">
        <v>1978.5</v>
      </c>
      <c r="AS5" s="261">
        <v>1674.6</v>
      </c>
      <c r="AT5" s="261">
        <v>4935</v>
      </c>
      <c r="AU5" s="261">
        <v>131.6</v>
      </c>
      <c r="AV5" s="261">
        <v>566</v>
      </c>
      <c r="AW5" s="261">
        <v>1130</v>
      </c>
      <c r="AX5" s="261">
        <v>1690</v>
      </c>
      <c r="AY5" s="261">
        <v>1130</v>
      </c>
      <c r="AZ5" s="261">
        <v>1000</v>
      </c>
      <c r="BA5" s="262">
        <v>156</v>
      </c>
      <c r="BB5" s="263">
        <f t="shared" si="3"/>
        <v>0.104</v>
      </c>
      <c r="BC5" s="259">
        <v>125</v>
      </c>
      <c r="BD5" s="264" t="s">
        <v>41</v>
      </c>
      <c r="BE5" s="264" t="s">
        <v>33</v>
      </c>
      <c r="BF5" s="264" t="s">
        <v>34</v>
      </c>
      <c r="BG5" s="265" t="s">
        <v>10</v>
      </c>
      <c r="BH5" s="265" t="s">
        <v>12</v>
      </c>
      <c r="BI5" s="265" t="s">
        <v>58</v>
      </c>
      <c r="BJ5" s="265">
        <v>4</v>
      </c>
      <c r="BK5" s="264">
        <v>2007</v>
      </c>
      <c r="BL5" s="266">
        <v>1</v>
      </c>
      <c r="BM5" s="266">
        <v>1</v>
      </c>
      <c r="BN5" s="266">
        <v>1</v>
      </c>
      <c r="BO5" s="266">
        <v>6</v>
      </c>
      <c r="BP5" s="266" t="s">
        <v>58</v>
      </c>
      <c r="BQ5" s="267">
        <v>1</v>
      </c>
      <c r="BR5" s="267">
        <v>1</v>
      </c>
      <c r="BS5" s="267">
        <v>1</v>
      </c>
      <c r="BT5" s="267" t="s">
        <v>58</v>
      </c>
      <c r="BU5" s="266" t="s">
        <v>58</v>
      </c>
      <c r="BV5" s="264">
        <v>1810</v>
      </c>
      <c r="BW5" s="264">
        <v>496</v>
      </c>
      <c r="BX5" s="264">
        <v>187</v>
      </c>
      <c r="BY5" s="264">
        <v>749</v>
      </c>
      <c r="BZ5" s="264"/>
      <c r="CA5" s="264">
        <v>14</v>
      </c>
      <c r="CB5" s="264">
        <v>20</v>
      </c>
      <c r="CC5" s="264">
        <v>1</v>
      </c>
      <c r="CD5" s="264">
        <v>4</v>
      </c>
      <c r="CE5" s="264">
        <v>4</v>
      </c>
      <c r="CF5" s="264" t="s">
        <v>58</v>
      </c>
      <c r="CG5" s="264">
        <v>40.299999999999997</v>
      </c>
      <c r="CH5" s="264">
        <v>40.299999999999997</v>
      </c>
      <c r="CI5" s="268" t="s">
        <v>333</v>
      </c>
      <c r="CJ5" s="269">
        <v>40887</v>
      </c>
      <c r="CK5" s="270">
        <v>1973.1</v>
      </c>
      <c r="CL5" s="270">
        <v>2076.5</v>
      </c>
      <c r="CM5" s="270">
        <v>47.4</v>
      </c>
      <c r="CN5" s="270">
        <v>15.7</v>
      </c>
      <c r="CO5" s="270">
        <v>4.8</v>
      </c>
      <c r="CP5" s="270">
        <v>20.100000000000001</v>
      </c>
      <c r="CQ5" s="271" t="s">
        <v>670</v>
      </c>
    </row>
    <row r="6" spans="1:95" ht="51.05" customHeight="1" x14ac:dyDescent="0.3">
      <c r="A6" s="128">
        <v>3</v>
      </c>
      <c r="B6" s="250" t="s">
        <v>1</v>
      </c>
      <c r="C6" s="128" t="s">
        <v>64</v>
      </c>
      <c r="D6" s="233" t="s">
        <v>37</v>
      </c>
      <c r="E6" s="128">
        <v>5</v>
      </c>
      <c r="F6" s="128">
        <v>423831</v>
      </c>
      <c r="G6" s="234" t="s">
        <v>684</v>
      </c>
      <c r="H6" s="238" t="s">
        <v>693</v>
      </c>
      <c r="I6" s="128" t="s">
        <v>813</v>
      </c>
      <c r="J6" s="128">
        <v>2008</v>
      </c>
      <c r="K6" s="163">
        <v>39849</v>
      </c>
      <c r="L6" s="128"/>
      <c r="M6" s="163" t="s">
        <v>622</v>
      </c>
      <c r="N6" s="163"/>
      <c r="O6" s="163" t="s">
        <v>579</v>
      </c>
      <c r="P6" s="236">
        <v>696</v>
      </c>
      <c r="Q6" s="236" t="s">
        <v>392</v>
      </c>
      <c r="R6" s="252">
        <v>10</v>
      </c>
      <c r="S6" s="252">
        <v>1</v>
      </c>
      <c r="T6" s="272" t="s">
        <v>217</v>
      </c>
      <c r="U6" s="252">
        <v>54</v>
      </c>
      <c r="V6" s="252">
        <f t="shared" si="0"/>
        <v>54</v>
      </c>
      <c r="W6" s="252">
        <v>36</v>
      </c>
      <c r="X6" s="252">
        <v>18</v>
      </c>
      <c r="Y6" s="252"/>
      <c r="Z6" s="252"/>
      <c r="AA6" s="252"/>
      <c r="AB6" s="253">
        <v>91</v>
      </c>
      <c r="AC6" s="254">
        <f t="shared" si="1"/>
        <v>2843.6</v>
      </c>
      <c r="AD6" s="255">
        <v>2355</v>
      </c>
      <c r="AE6" s="255">
        <f t="shared" si="2"/>
        <v>488.6</v>
      </c>
      <c r="AF6" s="256"/>
      <c r="AG6" s="256">
        <v>488.6</v>
      </c>
      <c r="AH6" s="257">
        <v>1074.8</v>
      </c>
      <c r="AI6" s="258">
        <v>1283.2</v>
      </c>
      <c r="AJ6" s="258">
        <v>189</v>
      </c>
      <c r="AK6" s="258" t="e">
        <f>#REF!</f>
        <v>#REF!</v>
      </c>
      <c r="AL6" s="259">
        <v>4008.8</v>
      </c>
      <c r="AM6" s="259">
        <v>3819.8</v>
      </c>
      <c r="AN6" s="260">
        <v>661</v>
      </c>
      <c r="AO6" s="260">
        <v>2745</v>
      </c>
      <c r="AP6" s="261">
        <v>616.6</v>
      </c>
      <c r="AQ6" s="261">
        <f>394+222.6</f>
        <v>616.6</v>
      </c>
      <c r="AR6" s="261">
        <v>297.2</v>
      </c>
      <c r="AS6" s="261">
        <v>292.8</v>
      </c>
      <c r="AT6" s="261">
        <v>2978</v>
      </c>
      <c r="AU6" s="261">
        <v>79</v>
      </c>
      <c r="AV6" s="261">
        <v>220</v>
      </c>
      <c r="AW6" s="261">
        <v>450</v>
      </c>
      <c r="AX6" s="261">
        <v>660</v>
      </c>
      <c r="AY6" s="261">
        <v>450</v>
      </c>
      <c r="AZ6" s="261">
        <v>430</v>
      </c>
      <c r="BA6" s="262">
        <v>143</v>
      </c>
      <c r="BB6" s="263">
        <f t="shared" si="3"/>
        <v>0.11916666666666666</v>
      </c>
      <c r="BC6" s="259">
        <v>100</v>
      </c>
      <c r="BD6" s="264" t="s">
        <v>38</v>
      </c>
      <c r="BE6" s="264" t="s">
        <v>33</v>
      </c>
      <c r="BF6" s="264" t="s">
        <v>34</v>
      </c>
      <c r="BG6" s="265" t="s">
        <v>11</v>
      </c>
      <c r="BH6" s="265" t="s">
        <v>12</v>
      </c>
      <c r="BI6" s="265" t="s">
        <v>58</v>
      </c>
      <c r="BJ6" s="265">
        <v>1</v>
      </c>
      <c r="BK6" s="264">
        <v>2009</v>
      </c>
      <c r="BL6" s="266">
        <v>1</v>
      </c>
      <c r="BM6" s="266">
        <v>1</v>
      </c>
      <c r="BN6" s="266">
        <v>1</v>
      </c>
      <c r="BO6" s="266">
        <v>5</v>
      </c>
      <c r="BP6" s="266" t="s">
        <v>58</v>
      </c>
      <c r="BQ6" s="267">
        <v>1</v>
      </c>
      <c r="BR6" s="267">
        <v>1</v>
      </c>
      <c r="BS6" s="267">
        <v>1</v>
      </c>
      <c r="BT6" s="267" t="s">
        <v>58</v>
      </c>
      <c r="BU6" s="267">
        <v>1</v>
      </c>
      <c r="BV6" s="264">
        <v>1009</v>
      </c>
      <c r="BW6" s="264">
        <v>143</v>
      </c>
      <c r="BX6" s="264">
        <v>99</v>
      </c>
      <c r="BY6" s="264">
        <v>827</v>
      </c>
      <c r="BZ6" s="264" t="s">
        <v>101</v>
      </c>
      <c r="CA6" s="264">
        <v>10</v>
      </c>
      <c r="CB6" s="264">
        <v>18</v>
      </c>
      <c r="CC6" s="264">
        <v>1</v>
      </c>
      <c r="CD6" s="264">
        <v>1</v>
      </c>
      <c r="CE6" s="264">
        <v>1</v>
      </c>
      <c r="CF6" s="264" t="s">
        <v>58</v>
      </c>
      <c r="CG6" s="273">
        <v>26.9</v>
      </c>
      <c r="CH6" s="264">
        <v>26</v>
      </c>
      <c r="CI6" s="268" t="s">
        <v>333</v>
      </c>
      <c r="CJ6" s="269">
        <v>39693</v>
      </c>
      <c r="CK6" s="270">
        <v>368.7</v>
      </c>
      <c r="CL6" s="270">
        <v>401.7</v>
      </c>
      <c r="CM6" s="270">
        <v>9.6</v>
      </c>
      <c r="CN6" s="270">
        <v>6.7</v>
      </c>
      <c r="CO6" s="270">
        <v>1.2</v>
      </c>
      <c r="CP6" s="270"/>
      <c r="CQ6" s="271" t="s">
        <v>670</v>
      </c>
    </row>
    <row r="7" spans="1:95" ht="48.05" customHeight="1" x14ac:dyDescent="0.3">
      <c r="A7" s="128">
        <v>4</v>
      </c>
      <c r="B7" s="250" t="s">
        <v>40</v>
      </c>
      <c r="C7" s="128" t="s">
        <v>64</v>
      </c>
      <c r="D7" s="233" t="s">
        <v>39</v>
      </c>
      <c r="E7" s="128">
        <v>51</v>
      </c>
      <c r="F7" s="128">
        <v>423832</v>
      </c>
      <c r="G7" s="234" t="s">
        <v>690</v>
      </c>
      <c r="H7" s="238" t="s">
        <v>694</v>
      </c>
      <c r="I7" s="128" t="s">
        <v>814</v>
      </c>
      <c r="J7" s="128">
        <v>2009</v>
      </c>
      <c r="K7" s="163">
        <v>40329</v>
      </c>
      <c r="L7" s="128"/>
      <c r="M7" s="163" t="s">
        <v>622</v>
      </c>
      <c r="N7" s="163"/>
      <c r="O7" s="163" t="s">
        <v>579</v>
      </c>
      <c r="P7" s="236">
        <v>743</v>
      </c>
      <c r="Q7" s="236" t="s">
        <v>388</v>
      </c>
      <c r="R7" s="252">
        <v>12</v>
      </c>
      <c r="S7" s="252">
        <v>2</v>
      </c>
      <c r="T7" s="252" t="s">
        <v>218</v>
      </c>
      <c r="U7" s="252">
        <v>109</v>
      </c>
      <c r="V7" s="252">
        <f t="shared" si="0"/>
        <v>110</v>
      </c>
      <c r="W7" s="252">
        <v>44</v>
      </c>
      <c r="X7" s="252">
        <v>44</v>
      </c>
      <c r="Y7" s="252">
        <v>22</v>
      </c>
      <c r="Z7" s="252"/>
      <c r="AA7" s="252"/>
      <c r="AB7" s="253">
        <v>186</v>
      </c>
      <c r="AC7" s="254">
        <f t="shared" si="1"/>
        <v>8488.7999999999993</v>
      </c>
      <c r="AD7" s="255">
        <v>7358</v>
      </c>
      <c r="AE7" s="255">
        <f t="shared" si="2"/>
        <v>1130.8</v>
      </c>
      <c r="AF7" s="256"/>
      <c r="AG7" s="256">
        <v>1130.8</v>
      </c>
      <c r="AH7" s="257">
        <v>3919.1</v>
      </c>
      <c r="AI7" s="258">
        <v>3444.9</v>
      </c>
      <c r="AJ7" s="258">
        <v>437.2</v>
      </c>
      <c r="AK7" s="258" t="e">
        <f>#REF!</f>
        <v>#REF!</v>
      </c>
      <c r="AL7" s="259">
        <v>13602.400000000001</v>
      </c>
      <c r="AM7" s="259">
        <v>13165.2</v>
      </c>
      <c r="AN7" s="260">
        <v>1426.6</v>
      </c>
      <c r="AO7" s="260">
        <v>3090</v>
      </c>
      <c r="AP7" s="261">
        <v>884.3</v>
      </c>
      <c r="AQ7" s="261">
        <v>884.3</v>
      </c>
      <c r="AR7" s="261">
        <v>919.8</v>
      </c>
      <c r="AS7" s="261">
        <v>2259.8000000000002</v>
      </c>
      <c r="AT7" s="261">
        <v>4281</v>
      </c>
      <c r="AU7" s="261">
        <v>154</v>
      </c>
      <c r="AV7" s="261">
        <v>400</v>
      </c>
      <c r="AW7" s="261">
        <v>800</v>
      </c>
      <c r="AX7" s="261">
        <v>1200</v>
      </c>
      <c r="AY7" s="261">
        <v>800</v>
      </c>
      <c r="AZ7" s="261">
        <v>760</v>
      </c>
      <c r="BA7" s="262">
        <v>126</v>
      </c>
      <c r="BB7" s="263">
        <f t="shared" si="3"/>
        <v>8.4000000000000005E-2</v>
      </c>
      <c r="BC7" s="259">
        <v>125</v>
      </c>
      <c r="BD7" s="264" t="s">
        <v>41</v>
      </c>
      <c r="BE7" s="264" t="s">
        <v>33</v>
      </c>
      <c r="BF7" s="264" t="s">
        <v>34</v>
      </c>
      <c r="BG7" s="265" t="s">
        <v>10</v>
      </c>
      <c r="BH7" s="265" t="s">
        <v>12</v>
      </c>
      <c r="BI7" s="265" t="s">
        <v>82</v>
      </c>
      <c r="BJ7" s="265">
        <v>4</v>
      </c>
      <c r="BK7" s="264">
        <v>2010</v>
      </c>
      <c r="BL7" s="266">
        <v>1</v>
      </c>
      <c r="BM7" s="266">
        <v>1</v>
      </c>
      <c r="BN7" s="266">
        <v>1</v>
      </c>
      <c r="BO7" s="266">
        <v>3</v>
      </c>
      <c r="BP7" s="266" t="s">
        <v>58</v>
      </c>
      <c r="BQ7" s="267">
        <v>1</v>
      </c>
      <c r="BR7" s="267">
        <v>1</v>
      </c>
      <c r="BS7" s="267">
        <v>1</v>
      </c>
      <c r="BT7" s="267" t="s">
        <v>58</v>
      </c>
      <c r="BU7" s="266" t="s">
        <v>58</v>
      </c>
      <c r="BV7" s="264">
        <v>1400</v>
      </c>
      <c r="BW7" s="264">
        <v>230</v>
      </c>
      <c r="BX7" s="264">
        <v>115</v>
      </c>
      <c r="BY7" s="264">
        <v>2350</v>
      </c>
      <c r="BZ7" s="264" t="s">
        <v>102</v>
      </c>
      <c r="CA7" s="264">
        <v>60</v>
      </c>
      <c r="CB7" s="264">
        <v>22</v>
      </c>
      <c r="CC7" s="264">
        <v>1</v>
      </c>
      <c r="CD7" s="264">
        <v>2</v>
      </c>
      <c r="CE7" s="264">
        <v>2</v>
      </c>
      <c r="CF7" s="264" t="s">
        <v>58</v>
      </c>
      <c r="CG7" s="264">
        <v>24.1</v>
      </c>
      <c r="CH7" s="264">
        <v>25</v>
      </c>
      <c r="CI7" s="268" t="s">
        <v>333</v>
      </c>
      <c r="CJ7" s="269">
        <v>40197</v>
      </c>
      <c r="CK7" s="270">
        <v>321.10000000000002</v>
      </c>
      <c r="CL7" s="270">
        <v>394.2</v>
      </c>
      <c r="CM7" s="270">
        <v>8.8000000000000007</v>
      </c>
      <c r="CN7" s="270"/>
      <c r="CO7" s="270">
        <v>13.5</v>
      </c>
      <c r="CP7" s="270">
        <f>901.5+218+33.1</f>
        <v>1152.5999999999999</v>
      </c>
      <c r="CQ7" s="271" t="s">
        <v>670</v>
      </c>
    </row>
    <row r="8" spans="1:95" ht="59.95" customHeight="1" x14ac:dyDescent="0.3">
      <c r="A8" s="128">
        <v>5</v>
      </c>
      <c r="B8" s="250" t="s">
        <v>0</v>
      </c>
      <c r="C8" s="128" t="s">
        <v>64</v>
      </c>
      <c r="D8" s="233" t="s">
        <v>42</v>
      </c>
      <c r="E8" s="128">
        <v>8</v>
      </c>
      <c r="F8" s="128">
        <v>423838</v>
      </c>
      <c r="G8" s="234" t="s">
        <v>690</v>
      </c>
      <c r="H8" s="238" t="s">
        <v>694</v>
      </c>
      <c r="I8" s="128" t="s">
        <v>814</v>
      </c>
      <c r="J8" s="128">
        <v>2010</v>
      </c>
      <c r="K8" s="163">
        <v>40618</v>
      </c>
      <c r="L8" s="128"/>
      <c r="M8" s="163" t="s">
        <v>622</v>
      </c>
      <c r="N8" s="163"/>
      <c r="O8" s="163" t="s">
        <v>577</v>
      </c>
      <c r="P8" s="236" t="s">
        <v>58</v>
      </c>
      <c r="Q8" s="236" t="s">
        <v>398</v>
      </c>
      <c r="R8" s="252">
        <v>10</v>
      </c>
      <c r="S8" s="252">
        <v>3</v>
      </c>
      <c r="T8" s="252" t="s">
        <v>220</v>
      </c>
      <c r="U8" s="252">
        <v>120</v>
      </c>
      <c r="V8" s="252">
        <f t="shared" si="0"/>
        <v>120</v>
      </c>
      <c r="W8" s="252">
        <v>41</v>
      </c>
      <c r="X8" s="252">
        <v>23</v>
      </c>
      <c r="Y8" s="252">
        <v>55</v>
      </c>
      <c r="Z8" s="252">
        <v>1</v>
      </c>
      <c r="AA8" s="252"/>
      <c r="AB8" s="253">
        <v>316</v>
      </c>
      <c r="AC8" s="254">
        <f t="shared" si="1"/>
        <v>8547.1</v>
      </c>
      <c r="AD8" s="255">
        <v>8432.1</v>
      </c>
      <c r="AE8" s="255">
        <f t="shared" si="2"/>
        <v>115</v>
      </c>
      <c r="AF8" s="256"/>
      <c r="AG8" s="256">
        <v>115</v>
      </c>
      <c r="AH8" s="257">
        <v>4723.2</v>
      </c>
      <c r="AI8" s="258">
        <v>3696.6</v>
      </c>
      <c r="AJ8" s="258">
        <v>615.29999999999995</v>
      </c>
      <c r="AK8" s="258" t="e">
        <f>#REF!</f>
        <v>#REF!</v>
      </c>
      <c r="AL8" s="259">
        <v>12410.9</v>
      </c>
      <c r="AM8" s="259">
        <v>11795.6</v>
      </c>
      <c r="AN8" s="260">
        <v>1478.2</v>
      </c>
      <c r="AO8" s="260">
        <v>4050</v>
      </c>
      <c r="AP8" s="261">
        <v>1343.3</v>
      </c>
      <c r="AQ8" s="261">
        <v>1343.3</v>
      </c>
      <c r="AR8" s="261">
        <v>1008.2</v>
      </c>
      <c r="AS8" s="261">
        <f>966.4-150</f>
        <v>816.4</v>
      </c>
      <c r="AT8" s="261">
        <v>4392</v>
      </c>
      <c r="AU8" s="261">
        <v>117</v>
      </c>
      <c r="AV8" s="261">
        <v>410</v>
      </c>
      <c r="AW8" s="261">
        <v>820</v>
      </c>
      <c r="AX8" s="261">
        <v>1230</v>
      </c>
      <c r="AY8" s="261">
        <v>820</v>
      </c>
      <c r="AZ8" s="261">
        <v>780</v>
      </c>
      <c r="BA8" s="262">
        <v>112</v>
      </c>
      <c r="BB8" s="263">
        <f t="shared" si="3"/>
        <v>7.4666666666666673E-2</v>
      </c>
      <c r="BC8" s="259">
        <v>125</v>
      </c>
      <c r="BD8" s="264" t="s">
        <v>41</v>
      </c>
      <c r="BE8" s="264" t="s">
        <v>33</v>
      </c>
      <c r="BF8" s="264" t="s">
        <v>34</v>
      </c>
      <c r="BG8" s="265" t="s">
        <v>11</v>
      </c>
      <c r="BH8" s="265" t="s">
        <v>12</v>
      </c>
      <c r="BI8" s="265" t="s">
        <v>58</v>
      </c>
      <c r="BJ8" s="265">
        <v>3</v>
      </c>
      <c r="BK8" s="264">
        <v>2011</v>
      </c>
      <c r="BL8" s="266">
        <v>1</v>
      </c>
      <c r="BM8" s="266">
        <v>1</v>
      </c>
      <c r="BN8" s="266">
        <v>1</v>
      </c>
      <c r="BO8" s="266">
        <v>6</v>
      </c>
      <c r="BP8" s="266" t="s">
        <v>58</v>
      </c>
      <c r="BQ8" s="267">
        <v>1</v>
      </c>
      <c r="BR8" s="267">
        <v>1</v>
      </c>
      <c r="BS8" s="267">
        <v>1</v>
      </c>
      <c r="BT8" s="267" t="s">
        <v>58</v>
      </c>
      <c r="BU8" s="267">
        <v>1</v>
      </c>
      <c r="BV8" s="264">
        <v>1643</v>
      </c>
      <c r="BW8" s="264">
        <v>267.8</v>
      </c>
      <c r="BX8" s="264">
        <v>145</v>
      </c>
      <c r="BY8" s="264">
        <v>1012.3</v>
      </c>
      <c r="BZ8" s="264" t="s">
        <v>58</v>
      </c>
      <c r="CA8" s="264">
        <v>40</v>
      </c>
      <c r="CB8" s="264">
        <v>20</v>
      </c>
      <c r="CC8" s="264" t="s">
        <v>58</v>
      </c>
      <c r="CD8" s="264">
        <v>3</v>
      </c>
      <c r="CE8" s="264">
        <v>3</v>
      </c>
      <c r="CF8" s="264" t="s">
        <v>58</v>
      </c>
      <c r="CG8" s="264">
        <v>28.1</v>
      </c>
      <c r="CH8" s="264">
        <v>26</v>
      </c>
      <c r="CI8" s="268" t="s">
        <v>333</v>
      </c>
      <c r="CJ8" s="269">
        <v>40522</v>
      </c>
      <c r="CK8" s="270">
        <v>718.2</v>
      </c>
      <c r="CL8" s="270">
        <v>978.8</v>
      </c>
      <c r="CM8" s="270">
        <v>16.600000000000001</v>
      </c>
      <c r="CN8" s="270">
        <v>8.6999999999999993</v>
      </c>
      <c r="CO8" s="270">
        <v>5.4</v>
      </c>
      <c r="CP8" s="270">
        <v>662</v>
      </c>
      <c r="CQ8" s="271" t="s">
        <v>670</v>
      </c>
    </row>
    <row r="9" spans="1:95" ht="50.1" customHeight="1" x14ac:dyDescent="0.3">
      <c r="A9" s="128">
        <v>6</v>
      </c>
      <c r="B9" s="250" t="s">
        <v>3</v>
      </c>
      <c r="C9" s="128" t="s">
        <v>64</v>
      </c>
      <c r="D9" s="233" t="s">
        <v>44</v>
      </c>
      <c r="E9" s="128">
        <v>87</v>
      </c>
      <c r="F9" s="128">
        <v>423823</v>
      </c>
      <c r="G9" s="234" t="s">
        <v>684</v>
      </c>
      <c r="H9" s="238" t="s">
        <v>693</v>
      </c>
      <c r="I9" s="128" t="s">
        <v>813</v>
      </c>
      <c r="J9" s="128">
        <v>2011</v>
      </c>
      <c r="K9" s="163">
        <v>40847</v>
      </c>
      <c r="L9" s="128"/>
      <c r="M9" s="163" t="s">
        <v>622</v>
      </c>
      <c r="N9" s="163"/>
      <c r="O9" s="163" t="s">
        <v>577</v>
      </c>
      <c r="P9" s="237">
        <v>735</v>
      </c>
      <c r="Q9" s="237" t="s">
        <v>387</v>
      </c>
      <c r="R9" s="252">
        <v>10</v>
      </c>
      <c r="S9" s="252">
        <v>2</v>
      </c>
      <c r="T9" s="272" t="s">
        <v>219</v>
      </c>
      <c r="U9" s="252">
        <v>80</v>
      </c>
      <c r="V9" s="252">
        <f t="shared" si="0"/>
        <v>80</v>
      </c>
      <c r="W9" s="252">
        <v>2</v>
      </c>
      <c r="X9" s="252">
        <v>38</v>
      </c>
      <c r="Y9" s="252">
        <v>40</v>
      </c>
      <c r="Z9" s="252"/>
      <c r="AA9" s="252"/>
      <c r="AB9" s="253">
        <v>188</v>
      </c>
      <c r="AC9" s="254">
        <f t="shared" si="1"/>
        <v>4222.6000000000004</v>
      </c>
      <c r="AD9" s="255">
        <v>4222.6000000000004</v>
      </c>
      <c r="AE9" s="255">
        <f t="shared" si="2"/>
        <v>0</v>
      </c>
      <c r="AF9" s="256"/>
      <c r="AG9" s="256"/>
      <c r="AH9" s="257">
        <v>2420.1999999999998</v>
      </c>
      <c r="AI9" s="258">
        <v>1806.5</v>
      </c>
      <c r="AJ9" s="258">
        <v>280</v>
      </c>
      <c r="AK9" s="258" t="e">
        <f>#REF!</f>
        <v>#REF!</v>
      </c>
      <c r="AL9" s="259">
        <v>6207.3</v>
      </c>
      <c r="AM9" s="259">
        <v>5927.3</v>
      </c>
      <c r="AN9" s="260">
        <v>694.8</v>
      </c>
      <c r="AO9" s="260">
        <v>2750</v>
      </c>
      <c r="AP9" s="261">
        <v>540.29999999999995</v>
      </c>
      <c r="AQ9" s="261">
        <v>540.29999999999995</v>
      </c>
      <c r="AR9" s="261">
        <v>501</v>
      </c>
      <c r="AS9" s="261">
        <v>458.3</v>
      </c>
      <c r="AT9" s="261">
        <v>3230</v>
      </c>
      <c r="AU9" s="261">
        <v>86</v>
      </c>
      <c r="AV9" s="261">
        <v>280</v>
      </c>
      <c r="AW9" s="261">
        <v>560</v>
      </c>
      <c r="AX9" s="261">
        <v>840</v>
      </c>
      <c r="AY9" s="261">
        <v>560</v>
      </c>
      <c r="AZ9" s="261">
        <v>530</v>
      </c>
      <c r="BA9" s="262">
        <v>109</v>
      </c>
      <c r="BB9" s="263">
        <f t="shared" si="3"/>
        <v>9.0833333333333335E-2</v>
      </c>
      <c r="BC9" s="259">
        <v>100</v>
      </c>
      <c r="BD9" s="264" t="s">
        <v>38</v>
      </c>
      <c r="BE9" s="264" t="s">
        <v>33</v>
      </c>
      <c r="BF9" s="264" t="s">
        <v>34</v>
      </c>
      <c r="BG9" s="265" t="s">
        <v>11</v>
      </c>
      <c r="BH9" s="265" t="s">
        <v>12</v>
      </c>
      <c r="BI9" s="265" t="s">
        <v>58</v>
      </c>
      <c r="BJ9" s="265">
        <v>2</v>
      </c>
      <c r="BK9" s="264">
        <v>2012</v>
      </c>
      <c r="BL9" s="266">
        <v>1</v>
      </c>
      <c r="BM9" s="266">
        <v>1</v>
      </c>
      <c r="BN9" s="266">
        <v>1</v>
      </c>
      <c r="BO9" s="266">
        <v>4</v>
      </c>
      <c r="BP9" s="266" t="s">
        <v>58</v>
      </c>
      <c r="BQ9" s="267">
        <v>1</v>
      </c>
      <c r="BR9" s="267">
        <v>1</v>
      </c>
      <c r="BS9" s="267">
        <v>1</v>
      </c>
      <c r="BT9" s="267" t="s">
        <v>58</v>
      </c>
      <c r="BU9" s="267">
        <v>1</v>
      </c>
      <c r="BV9" s="264">
        <v>2467</v>
      </c>
      <c r="BW9" s="264">
        <v>275</v>
      </c>
      <c r="BX9" s="264">
        <v>70.5</v>
      </c>
      <c r="BY9" s="264">
        <v>2160</v>
      </c>
      <c r="BZ9" s="264" t="s">
        <v>104</v>
      </c>
      <c r="CA9" s="264">
        <v>16</v>
      </c>
      <c r="CB9" s="264">
        <v>30</v>
      </c>
      <c r="CC9" s="264">
        <v>1</v>
      </c>
      <c r="CD9" s="264">
        <v>2</v>
      </c>
      <c r="CE9" s="264">
        <v>2</v>
      </c>
      <c r="CF9" s="264" t="s">
        <v>58</v>
      </c>
      <c r="CG9" s="264">
        <v>25.8</v>
      </c>
      <c r="CH9" s="264">
        <v>26</v>
      </c>
      <c r="CI9" s="268" t="s">
        <v>333</v>
      </c>
      <c r="CJ9" s="269">
        <v>40764</v>
      </c>
      <c r="CK9" s="270">
        <v>467.4</v>
      </c>
      <c r="CL9" s="270">
        <v>551.70000000000005</v>
      </c>
      <c r="CM9" s="270">
        <v>8.8000000000000007</v>
      </c>
      <c r="CN9" s="270">
        <v>15</v>
      </c>
      <c r="CO9" s="270">
        <v>2.6</v>
      </c>
      <c r="CP9" s="270">
        <v>449</v>
      </c>
      <c r="CQ9" s="271" t="s">
        <v>670</v>
      </c>
    </row>
    <row r="10" spans="1:95" ht="49.3" customHeight="1" x14ac:dyDescent="0.3">
      <c r="A10" s="128">
        <v>7</v>
      </c>
      <c r="B10" s="250" t="s">
        <v>4</v>
      </c>
      <c r="C10" s="128" t="s">
        <v>64</v>
      </c>
      <c r="D10" s="233" t="s">
        <v>43</v>
      </c>
      <c r="E10" s="128">
        <v>19</v>
      </c>
      <c r="F10" s="128">
        <v>423814</v>
      </c>
      <c r="G10" s="234" t="s">
        <v>686</v>
      </c>
      <c r="H10" s="238" t="s">
        <v>691</v>
      </c>
      <c r="I10" s="128" t="s">
        <v>813</v>
      </c>
      <c r="J10" s="239">
        <v>2011</v>
      </c>
      <c r="K10" s="163">
        <v>40847</v>
      </c>
      <c r="L10" s="128"/>
      <c r="M10" s="163" t="s">
        <v>622</v>
      </c>
      <c r="N10" s="163"/>
      <c r="O10" s="163" t="s">
        <v>577</v>
      </c>
      <c r="P10" s="236">
        <v>8526</v>
      </c>
      <c r="Q10" s="236" t="s">
        <v>396</v>
      </c>
      <c r="R10" s="272">
        <v>10</v>
      </c>
      <c r="S10" s="252">
        <v>2</v>
      </c>
      <c r="T10" s="272" t="s">
        <v>219</v>
      </c>
      <c r="U10" s="252">
        <v>80</v>
      </c>
      <c r="V10" s="252">
        <f t="shared" si="0"/>
        <v>80</v>
      </c>
      <c r="W10" s="252">
        <v>21</v>
      </c>
      <c r="X10" s="252">
        <v>41</v>
      </c>
      <c r="Y10" s="252">
        <v>18</v>
      </c>
      <c r="Z10" s="252"/>
      <c r="AA10" s="252"/>
      <c r="AB10" s="253">
        <v>259</v>
      </c>
      <c r="AC10" s="254">
        <f t="shared" si="1"/>
        <v>5627.6</v>
      </c>
      <c r="AD10" s="255">
        <v>5627.6</v>
      </c>
      <c r="AE10" s="255">
        <f t="shared" si="2"/>
        <v>0</v>
      </c>
      <c r="AF10" s="256"/>
      <c r="AG10" s="256"/>
      <c r="AH10" s="257">
        <v>2979</v>
      </c>
      <c r="AI10" s="258">
        <v>2651</v>
      </c>
      <c r="AJ10" s="258">
        <v>406.2</v>
      </c>
      <c r="AK10" s="258" t="e">
        <f>#REF!</f>
        <v>#REF!</v>
      </c>
      <c r="AL10" s="259">
        <v>8275.6</v>
      </c>
      <c r="AM10" s="259">
        <v>7869.4000000000005</v>
      </c>
      <c r="AN10" s="260">
        <v>953.8</v>
      </c>
      <c r="AO10" s="260">
        <v>2700</v>
      </c>
      <c r="AP10" s="261">
        <v>732.6</v>
      </c>
      <c r="AQ10" s="261">
        <v>732.6</v>
      </c>
      <c r="AR10" s="261">
        <v>657.6</v>
      </c>
      <c r="AS10" s="261">
        <v>637.6</v>
      </c>
      <c r="AT10" s="261">
        <v>3240</v>
      </c>
      <c r="AU10" s="261">
        <v>86.4</v>
      </c>
      <c r="AV10" s="261">
        <v>285</v>
      </c>
      <c r="AW10" s="261">
        <v>570</v>
      </c>
      <c r="AX10" s="261">
        <v>850</v>
      </c>
      <c r="AY10" s="261">
        <v>570</v>
      </c>
      <c r="AZ10" s="261">
        <v>540</v>
      </c>
      <c r="BA10" s="262">
        <v>109</v>
      </c>
      <c r="BB10" s="263">
        <f t="shared" si="3"/>
        <v>7.2666666666666671E-2</v>
      </c>
      <c r="BC10" s="259">
        <v>125</v>
      </c>
      <c r="BD10" s="264" t="s">
        <v>41</v>
      </c>
      <c r="BE10" s="264" t="s">
        <v>33</v>
      </c>
      <c r="BF10" s="264" t="s">
        <v>34</v>
      </c>
      <c r="BG10" s="258" t="s">
        <v>11</v>
      </c>
      <c r="BH10" s="265" t="s">
        <v>12</v>
      </c>
      <c r="BI10" s="265" t="s">
        <v>58</v>
      </c>
      <c r="BJ10" s="265">
        <v>2</v>
      </c>
      <c r="BK10" s="264">
        <v>2011</v>
      </c>
      <c r="BL10" s="266">
        <v>1</v>
      </c>
      <c r="BM10" s="266">
        <v>1</v>
      </c>
      <c r="BN10" s="266">
        <v>1</v>
      </c>
      <c r="BO10" s="266">
        <v>3</v>
      </c>
      <c r="BP10" s="266" t="s">
        <v>58</v>
      </c>
      <c r="BQ10" s="267">
        <v>1</v>
      </c>
      <c r="BR10" s="267">
        <v>1</v>
      </c>
      <c r="BS10" s="267">
        <v>1</v>
      </c>
      <c r="BT10" s="267" t="s">
        <v>58</v>
      </c>
      <c r="BU10" s="267">
        <v>1</v>
      </c>
      <c r="BV10" s="264">
        <v>780</v>
      </c>
      <c r="BW10" s="264">
        <v>786.3</v>
      </c>
      <c r="BX10" s="264">
        <v>80.5</v>
      </c>
      <c r="BY10" s="264">
        <v>1100</v>
      </c>
      <c r="BZ10" s="264" t="s">
        <v>103</v>
      </c>
      <c r="CA10" s="264">
        <v>10</v>
      </c>
      <c r="CB10" s="264">
        <v>16</v>
      </c>
      <c r="CC10" s="264">
        <v>1</v>
      </c>
      <c r="CD10" s="264">
        <v>2</v>
      </c>
      <c r="CE10" s="264">
        <v>2</v>
      </c>
      <c r="CF10" s="264" t="s">
        <v>58</v>
      </c>
      <c r="CG10" s="264">
        <v>25.8</v>
      </c>
      <c r="CH10" s="264">
        <v>26</v>
      </c>
      <c r="CI10" s="268" t="s">
        <v>333</v>
      </c>
      <c r="CJ10" s="269">
        <v>40879</v>
      </c>
      <c r="CK10" s="270">
        <v>703.9</v>
      </c>
      <c r="CL10" s="270">
        <v>788.2</v>
      </c>
      <c r="CM10" s="270">
        <v>9.6999999999999993</v>
      </c>
      <c r="CN10" s="270">
        <v>14</v>
      </c>
      <c r="CO10" s="270">
        <v>2.4</v>
      </c>
      <c r="CP10" s="270"/>
      <c r="CQ10" s="271" t="s">
        <v>670</v>
      </c>
    </row>
    <row r="11" spans="1:95" ht="49.3" customHeight="1" x14ac:dyDescent="0.3">
      <c r="A11" s="128">
        <v>8</v>
      </c>
      <c r="B11" s="250" t="s">
        <v>47</v>
      </c>
      <c r="C11" s="128" t="s">
        <v>63</v>
      </c>
      <c r="D11" s="233" t="s">
        <v>45</v>
      </c>
      <c r="E11" s="128" t="s">
        <v>46</v>
      </c>
      <c r="F11" s="128">
        <v>423806</v>
      </c>
      <c r="G11" s="234" t="s">
        <v>687</v>
      </c>
      <c r="H11" s="238" t="s">
        <v>699</v>
      </c>
      <c r="I11" s="128" t="s">
        <v>464</v>
      </c>
      <c r="J11" s="128">
        <v>2013</v>
      </c>
      <c r="K11" s="163">
        <v>41421</v>
      </c>
      <c r="L11" s="163">
        <v>41421</v>
      </c>
      <c r="M11" s="163" t="s">
        <v>622</v>
      </c>
      <c r="N11" s="163"/>
      <c r="O11" s="163" t="s">
        <v>575</v>
      </c>
      <c r="P11" s="236">
        <v>232</v>
      </c>
      <c r="Q11" s="236" t="s">
        <v>383</v>
      </c>
      <c r="R11" s="252" t="s">
        <v>9</v>
      </c>
      <c r="S11" s="252">
        <v>2</v>
      </c>
      <c r="T11" s="252" t="s">
        <v>216</v>
      </c>
      <c r="U11" s="252">
        <v>93</v>
      </c>
      <c r="V11" s="252">
        <f t="shared" si="0"/>
        <v>93</v>
      </c>
      <c r="W11" s="252">
        <v>36</v>
      </c>
      <c r="X11" s="252">
        <v>43</v>
      </c>
      <c r="Y11" s="252">
        <v>12</v>
      </c>
      <c r="Z11" s="252">
        <v>2</v>
      </c>
      <c r="AA11" s="252"/>
      <c r="AB11" s="253">
        <v>144</v>
      </c>
      <c r="AC11" s="254">
        <f t="shared" si="1"/>
        <v>6056.8</v>
      </c>
      <c r="AD11" s="255">
        <v>5688.8</v>
      </c>
      <c r="AE11" s="255">
        <f t="shared" si="2"/>
        <v>368</v>
      </c>
      <c r="AF11" s="256"/>
      <c r="AG11" s="256">
        <v>368</v>
      </c>
      <c r="AH11" s="257">
        <v>3066.9</v>
      </c>
      <c r="AI11" s="258">
        <v>2621.8</v>
      </c>
      <c r="AJ11" s="258">
        <v>236.5</v>
      </c>
      <c r="AK11" s="258" t="e">
        <f>#REF!</f>
        <v>#REF!</v>
      </c>
      <c r="AL11" s="259">
        <v>7982.7000000000007</v>
      </c>
      <c r="AM11" s="259">
        <v>7746.2000000000007</v>
      </c>
      <c r="AN11" s="260">
        <v>1232.0999999999999</v>
      </c>
      <c r="AO11" s="260">
        <v>3240</v>
      </c>
      <c r="AP11" s="261">
        <v>1136.7</v>
      </c>
      <c r="AQ11" s="261">
        <v>1136.7</v>
      </c>
      <c r="AR11" s="261">
        <v>180.7</v>
      </c>
      <c r="AS11" s="261">
        <v>411</v>
      </c>
      <c r="AT11" s="261">
        <v>3236</v>
      </c>
      <c r="AU11" s="261">
        <v>83</v>
      </c>
      <c r="AV11" s="261">
        <v>390</v>
      </c>
      <c r="AW11" s="261">
        <v>780</v>
      </c>
      <c r="AX11" s="261">
        <v>1170</v>
      </c>
      <c r="AY11" s="261">
        <v>780</v>
      </c>
      <c r="AZ11" s="261">
        <v>720</v>
      </c>
      <c r="BA11" s="262">
        <v>90</v>
      </c>
      <c r="BB11" s="263">
        <f t="shared" si="3"/>
        <v>0.06</v>
      </c>
      <c r="BC11" s="259">
        <v>125</v>
      </c>
      <c r="BD11" s="264" t="s">
        <v>41</v>
      </c>
      <c r="BE11" s="264" t="s">
        <v>33</v>
      </c>
      <c r="BF11" s="264" t="s">
        <v>34</v>
      </c>
      <c r="BG11" s="265" t="s">
        <v>11</v>
      </c>
      <c r="BH11" s="265" t="s">
        <v>12</v>
      </c>
      <c r="BI11" s="265" t="s">
        <v>58</v>
      </c>
      <c r="BJ11" s="265">
        <v>2</v>
      </c>
      <c r="BK11" s="264">
        <v>2013</v>
      </c>
      <c r="BL11" s="266">
        <v>1</v>
      </c>
      <c r="BM11" s="266">
        <v>1</v>
      </c>
      <c r="BN11" s="266">
        <v>1</v>
      </c>
      <c r="BO11" s="266">
        <v>3</v>
      </c>
      <c r="BP11" s="266" t="s">
        <v>58</v>
      </c>
      <c r="BQ11" s="267">
        <v>1</v>
      </c>
      <c r="BR11" s="267">
        <v>1</v>
      </c>
      <c r="BS11" s="267">
        <v>1</v>
      </c>
      <c r="BT11" s="267" t="s">
        <v>58</v>
      </c>
      <c r="BU11" s="266">
        <v>1</v>
      </c>
      <c r="BV11" s="264">
        <v>1244.5</v>
      </c>
      <c r="BW11" s="264">
        <v>259</v>
      </c>
      <c r="BX11" s="264">
        <v>149.80000000000001</v>
      </c>
      <c r="BY11" s="264">
        <v>1800</v>
      </c>
      <c r="BZ11" s="264" t="s">
        <v>108</v>
      </c>
      <c r="CA11" s="264">
        <v>0</v>
      </c>
      <c r="CB11" s="264">
        <v>0</v>
      </c>
      <c r="CC11" s="264">
        <v>1</v>
      </c>
      <c r="CD11" s="264">
        <v>2</v>
      </c>
      <c r="CE11" s="264">
        <v>2</v>
      </c>
      <c r="CF11" s="264" t="s">
        <v>58</v>
      </c>
      <c r="CG11" s="264">
        <v>192.66</v>
      </c>
      <c r="CH11" s="264">
        <v>238.33</v>
      </c>
      <c r="CI11" s="268" t="s">
        <v>333</v>
      </c>
      <c r="CJ11" s="269">
        <v>41373</v>
      </c>
      <c r="CK11" s="270">
        <v>288.10000000000002</v>
      </c>
      <c r="CL11" s="270">
        <v>340.9</v>
      </c>
      <c r="CM11" s="270"/>
      <c r="CN11" s="270">
        <v>6.9</v>
      </c>
      <c r="CO11" s="270">
        <v>91.7</v>
      </c>
      <c r="CP11" s="270">
        <v>675.1</v>
      </c>
      <c r="CQ11" s="271" t="s">
        <v>670</v>
      </c>
    </row>
    <row r="12" spans="1:95" ht="52.3" customHeight="1" x14ac:dyDescent="0.3">
      <c r="A12" s="128">
        <v>9</v>
      </c>
      <c r="B12" s="250" t="s">
        <v>6</v>
      </c>
      <c r="C12" s="128" t="s">
        <v>64</v>
      </c>
      <c r="D12" s="233" t="s">
        <v>48</v>
      </c>
      <c r="E12" s="128">
        <v>67</v>
      </c>
      <c r="F12" s="128">
        <v>423832</v>
      </c>
      <c r="G12" s="234" t="s">
        <v>690</v>
      </c>
      <c r="H12" s="238" t="s">
        <v>694</v>
      </c>
      <c r="I12" s="128" t="s">
        <v>814</v>
      </c>
      <c r="J12" s="128">
        <v>2013</v>
      </c>
      <c r="K12" s="163">
        <v>41507</v>
      </c>
      <c r="L12" s="163">
        <v>41507</v>
      </c>
      <c r="M12" s="163" t="s">
        <v>622</v>
      </c>
      <c r="N12" s="163"/>
      <c r="O12" s="163" t="s">
        <v>575</v>
      </c>
      <c r="P12" s="236">
        <v>9082</v>
      </c>
      <c r="Q12" s="236" t="s">
        <v>384</v>
      </c>
      <c r="R12" s="252" t="s">
        <v>49</v>
      </c>
      <c r="S12" s="252">
        <v>1</v>
      </c>
      <c r="T12" s="252" t="s">
        <v>221</v>
      </c>
      <c r="U12" s="252">
        <v>128</v>
      </c>
      <c r="V12" s="252">
        <f t="shared" si="0"/>
        <v>128</v>
      </c>
      <c r="W12" s="252">
        <v>64</v>
      </c>
      <c r="X12" s="252">
        <v>32</v>
      </c>
      <c r="Y12" s="252">
        <v>32</v>
      </c>
      <c r="Z12" s="252"/>
      <c r="AA12" s="252"/>
      <c r="AB12" s="253">
        <v>263</v>
      </c>
      <c r="AC12" s="254">
        <f t="shared" si="1"/>
        <v>9801.0999999999985</v>
      </c>
      <c r="AD12" s="255">
        <v>8264.2999999999993</v>
      </c>
      <c r="AE12" s="255">
        <f t="shared" si="2"/>
        <v>1536.8</v>
      </c>
      <c r="AF12" s="256"/>
      <c r="AG12" s="256">
        <v>1536.8</v>
      </c>
      <c r="AH12" s="257">
        <v>4211.3</v>
      </c>
      <c r="AI12" s="258">
        <v>4071.7</v>
      </c>
      <c r="AJ12" s="258">
        <v>249.6</v>
      </c>
      <c r="AK12" s="258" t="e">
        <f>#REF!</f>
        <v>#REF!</v>
      </c>
      <c r="AL12" s="259">
        <v>12300.699999999999</v>
      </c>
      <c r="AM12" s="259">
        <v>12051.099999999999</v>
      </c>
      <c r="AN12" s="260">
        <v>1239.2</v>
      </c>
      <c r="AO12" s="260">
        <v>1400</v>
      </c>
      <c r="AP12" s="261">
        <v>717.6</v>
      </c>
      <c r="AQ12" s="261">
        <v>58.1</v>
      </c>
      <c r="AR12" s="261">
        <v>688.3</v>
      </c>
      <c r="AS12" s="261">
        <v>149.5</v>
      </c>
      <c r="AT12" s="261">
        <v>3010</v>
      </c>
      <c r="AU12" s="261">
        <v>80</v>
      </c>
      <c r="AV12" s="261">
        <v>294</v>
      </c>
      <c r="AW12" s="261">
        <v>580</v>
      </c>
      <c r="AX12" s="261">
        <v>880</v>
      </c>
      <c r="AY12" s="261">
        <v>580</v>
      </c>
      <c r="AZ12" s="261">
        <v>550</v>
      </c>
      <c r="BA12" s="262">
        <v>87</v>
      </c>
      <c r="BB12" s="263">
        <f t="shared" si="3"/>
        <v>5.7999999999999996E-2</v>
      </c>
      <c r="BC12" s="259">
        <v>125</v>
      </c>
      <c r="BD12" s="264" t="s">
        <v>41</v>
      </c>
      <c r="BE12" s="264" t="s">
        <v>33</v>
      </c>
      <c r="BF12" s="264" t="s">
        <v>34</v>
      </c>
      <c r="BG12" s="265" t="s">
        <v>10</v>
      </c>
      <c r="BH12" s="265" t="s">
        <v>12</v>
      </c>
      <c r="BI12" s="265" t="s">
        <v>82</v>
      </c>
      <c r="BJ12" s="265">
        <v>2</v>
      </c>
      <c r="BK12" s="264">
        <v>2013</v>
      </c>
      <c r="BL12" s="266">
        <v>1</v>
      </c>
      <c r="BM12" s="266">
        <v>1</v>
      </c>
      <c r="BN12" s="266">
        <v>1</v>
      </c>
      <c r="BO12" s="266">
        <v>3</v>
      </c>
      <c r="BP12" s="266" t="s">
        <v>58</v>
      </c>
      <c r="BQ12" s="267">
        <v>1</v>
      </c>
      <c r="BR12" s="267">
        <v>1</v>
      </c>
      <c r="BS12" s="267">
        <v>1</v>
      </c>
      <c r="BT12" s="267" t="s">
        <v>58</v>
      </c>
      <c r="BU12" s="267" t="s">
        <v>58</v>
      </c>
      <c r="BV12" s="264" t="s">
        <v>521</v>
      </c>
      <c r="BW12" s="264" t="s">
        <v>520</v>
      </c>
      <c r="BX12" s="264" t="s">
        <v>519</v>
      </c>
      <c r="BY12" s="264" t="s">
        <v>518</v>
      </c>
      <c r="BZ12" s="264" t="s">
        <v>109</v>
      </c>
      <c r="CA12" s="264" t="s">
        <v>86</v>
      </c>
      <c r="CB12" s="264" t="s">
        <v>86</v>
      </c>
      <c r="CC12" s="264" t="s">
        <v>112</v>
      </c>
      <c r="CD12" s="264" t="s">
        <v>113</v>
      </c>
      <c r="CE12" s="264" t="s">
        <v>61</v>
      </c>
      <c r="CF12" s="264" t="s">
        <v>86</v>
      </c>
      <c r="CG12" s="264">
        <v>225.88</v>
      </c>
      <c r="CH12" s="264">
        <v>238.33</v>
      </c>
      <c r="CI12" s="268" t="s">
        <v>333</v>
      </c>
      <c r="CJ12" s="269">
        <v>41373</v>
      </c>
      <c r="CK12" s="270">
        <v>263.7</v>
      </c>
      <c r="CL12" s="270">
        <v>322.89999999999998</v>
      </c>
      <c r="CM12" s="270">
        <v>15.2</v>
      </c>
      <c r="CN12" s="270"/>
      <c r="CO12" s="270">
        <v>21.5</v>
      </c>
      <c r="CP12" s="270">
        <v>1111.8</v>
      </c>
      <c r="CQ12" s="271" t="s">
        <v>772</v>
      </c>
    </row>
    <row r="13" spans="1:95" ht="61.4" customHeight="1" x14ac:dyDescent="0.3">
      <c r="A13" s="128">
        <v>10</v>
      </c>
      <c r="B13" s="250" t="s">
        <v>59</v>
      </c>
      <c r="C13" s="128" t="s">
        <v>64</v>
      </c>
      <c r="D13" s="233" t="s">
        <v>44</v>
      </c>
      <c r="E13" s="128" t="s">
        <v>60</v>
      </c>
      <c r="F13" s="128">
        <v>423823</v>
      </c>
      <c r="G13" s="234" t="s">
        <v>684</v>
      </c>
      <c r="H13" s="238" t="s">
        <v>693</v>
      </c>
      <c r="I13" s="128" t="s">
        <v>813</v>
      </c>
      <c r="J13" s="128">
        <v>2013</v>
      </c>
      <c r="K13" s="163">
        <v>41603</v>
      </c>
      <c r="L13" s="163">
        <v>41609</v>
      </c>
      <c r="M13" s="163" t="s">
        <v>622</v>
      </c>
      <c r="N13" s="163"/>
      <c r="O13" s="163" t="s">
        <v>577</v>
      </c>
      <c r="P13" s="236" t="s">
        <v>394</v>
      </c>
      <c r="Q13" s="236" t="s">
        <v>395</v>
      </c>
      <c r="R13" s="252" t="s">
        <v>61</v>
      </c>
      <c r="S13" s="252">
        <v>1</v>
      </c>
      <c r="T13" s="272" t="s">
        <v>222</v>
      </c>
      <c r="U13" s="252">
        <v>72</v>
      </c>
      <c r="V13" s="252">
        <f t="shared" si="0"/>
        <v>72</v>
      </c>
      <c r="W13" s="252">
        <v>54</v>
      </c>
      <c r="X13" s="252">
        <v>18</v>
      </c>
      <c r="Y13" s="252"/>
      <c r="Z13" s="252"/>
      <c r="AA13" s="252"/>
      <c r="AB13" s="253">
        <v>85</v>
      </c>
      <c r="AC13" s="254">
        <f t="shared" si="1"/>
        <v>3376.8</v>
      </c>
      <c r="AD13" s="255">
        <v>3016.8</v>
      </c>
      <c r="AE13" s="255">
        <f t="shared" si="2"/>
        <v>360</v>
      </c>
      <c r="AF13" s="256"/>
      <c r="AG13" s="256">
        <v>360</v>
      </c>
      <c r="AH13" s="257">
        <v>1380.3</v>
      </c>
      <c r="AI13" s="258">
        <v>1636.6</v>
      </c>
      <c r="AJ13" s="258">
        <v>251.5</v>
      </c>
      <c r="AK13" s="258" t="e">
        <f>#REF!</f>
        <v>#REF!</v>
      </c>
      <c r="AL13" s="259">
        <v>4990.1000000000004</v>
      </c>
      <c r="AM13" s="259">
        <v>4738.6000000000004</v>
      </c>
      <c r="AN13" s="260">
        <v>587.6</v>
      </c>
      <c r="AO13" s="260">
        <v>2000</v>
      </c>
      <c r="AP13" s="261">
        <v>416.6</v>
      </c>
      <c r="AQ13" s="261">
        <v>416.6</v>
      </c>
      <c r="AR13" s="261">
        <v>401.1</v>
      </c>
      <c r="AS13" s="261">
        <v>381.2</v>
      </c>
      <c r="AT13" s="261">
        <v>2990</v>
      </c>
      <c r="AU13" s="261">
        <v>78</v>
      </c>
      <c r="AV13" s="261">
        <v>240</v>
      </c>
      <c r="AW13" s="261">
        <v>480</v>
      </c>
      <c r="AX13" s="261">
        <v>720</v>
      </c>
      <c r="AY13" s="261">
        <v>480</v>
      </c>
      <c r="AZ13" s="261">
        <v>450</v>
      </c>
      <c r="BA13" s="262">
        <v>85</v>
      </c>
      <c r="BB13" s="263">
        <f t="shared" si="3"/>
        <v>5.6666666666666671E-2</v>
      </c>
      <c r="BC13" s="259">
        <v>125</v>
      </c>
      <c r="BD13" s="264" t="s">
        <v>41</v>
      </c>
      <c r="BE13" s="264" t="s">
        <v>33</v>
      </c>
      <c r="BF13" s="264" t="s">
        <v>34</v>
      </c>
      <c r="BG13" s="265" t="s">
        <v>10</v>
      </c>
      <c r="BH13" s="265" t="s">
        <v>12</v>
      </c>
      <c r="BI13" s="265" t="s">
        <v>58</v>
      </c>
      <c r="BJ13" s="265">
        <v>1</v>
      </c>
      <c r="BK13" s="264">
        <v>2013</v>
      </c>
      <c r="BL13" s="266">
        <v>1</v>
      </c>
      <c r="BM13" s="266">
        <v>1</v>
      </c>
      <c r="BN13" s="266">
        <v>1</v>
      </c>
      <c r="BO13" s="266">
        <v>3</v>
      </c>
      <c r="BP13" s="266" t="s">
        <v>58</v>
      </c>
      <c r="BQ13" s="267">
        <v>1</v>
      </c>
      <c r="BR13" s="267">
        <v>1</v>
      </c>
      <c r="BS13" s="267">
        <v>1</v>
      </c>
      <c r="BT13" s="267" t="s">
        <v>58</v>
      </c>
      <c r="BU13" s="267" t="s">
        <v>58</v>
      </c>
      <c r="BV13" s="264" t="s">
        <v>517</v>
      </c>
      <c r="BW13" s="264" t="s">
        <v>516</v>
      </c>
      <c r="BX13" s="264" t="s">
        <v>515</v>
      </c>
      <c r="BY13" s="264" t="s">
        <v>514</v>
      </c>
      <c r="BZ13" s="264" t="s">
        <v>110</v>
      </c>
      <c r="CA13" s="264" t="s">
        <v>86</v>
      </c>
      <c r="CB13" s="264" t="s">
        <v>86</v>
      </c>
      <c r="CC13" s="264" t="s">
        <v>112</v>
      </c>
      <c r="CD13" s="264" t="s">
        <v>112</v>
      </c>
      <c r="CE13" s="264" t="s">
        <v>112</v>
      </c>
      <c r="CF13" s="264" t="s">
        <v>86</v>
      </c>
      <c r="CG13" s="264">
        <v>302.7</v>
      </c>
      <c r="CH13" s="264">
        <v>352.16</v>
      </c>
      <c r="CI13" s="268" t="s">
        <v>333</v>
      </c>
      <c r="CJ13" s="269">
        <v>41551</v>
      </c>
      <c r="CK13" s="270">
        <v>176</v>
      </c>
      <c r="CL13" s="270">
        <v>213.6</v>
      </c>
      <c r="CM13" s="270">
        <v>4.9000000000000004</v>
      </c>
      <c r="CN13" s="270">
        <v>10.8</v>
      </c>
      <c r="CO13" s="270">
        <v>1.3</v>
      </c>
      <c r="CP13" s="270">
        <v>378.2</v>
      </c>
      <c r="CQ13" s="271" t="s">
        <v>670</v>
      </c>
    </row>
    <row r="14" spans="1:95" ht="48.05" customHeight="1" x14ac:dyDescent="0.3">
      <c r="A14" s="128">
        <v>11</v>
      </c>
      <c r="B14" s="250" t="s">
        <v>68</v>
      </c>
      <c r="C14" s="128" t="s">
        <v>64</v>
      </c>
      <c r="D14" s="233" t="s">
        <v>42</v>
      </c>
      <c r="E14" s="128">
        <v>10</v>
      </c>
      <c r="F14" s="128">
        <v>423838</v>
      </c>
      <c r="G14" s="234" t="s">
        <v>690</v>
      </c>
      <c r="H14" s="238" t="s">
        <v>694</v>
      </c>
      <c r="I14" s="128" t="s">
        <v>814</v>
      </c>
      <c r="J14" s="128">
        <v>2014</v>
      </c>
      <c r="K14" s="163">
        <v>41687</v>
      </c>
      <c r="L14" s="163">
        <v>41687</v>
      </c>
      <c r="M14" s="163" t="s">
        <v>622</v>
      </c>
      <c r="N14" s="163"/>
      <c r="O14" s="163" t="s">
        <v>578</v>
      </c>
      <c r="P14" s="236">
        <v>9591</v>
      </c>
      <c r="Q14" s="236" t="s">
        <v>393</v>
      </c>
      <c r="R14" s="252">
        <v>17</v>
      </c>
      <c r="S14" s="252">
        <v>1</v>
      </c>
      <c r="T14" s="252" t="s">
        <v>221</v>
      </c>
      <c r="U14" s="252">
        <v>128</v>
      </c>
      <c r="V14" s="252">
        <f t="shared" si="0"/>
        <v>128</v>
      </c>
      <c r="W14" s="252">
        <v>64</v>
      </c>
      <c r="X14" s="252">
        <v>32</v>
      </c>
      <c r="Y14" s="252">
        <v>32</v>
      </c>
      <c r="Z14" s="252"/>
      <c r="AA14" s="252"/>
      <c r="AB14" s="253">
        <v>281</v>
      </c>
      <c r="AC14" s="254">
        <f t="shared" si="1"/>
        <v>8805.7999999999993</v>
      </c>
      <c r="AD14" s="255">
        <v>8288.9</v>
      </c>
      <c r="AE14" s="255">
        <f t="shared" si="2"/>
        <v>516.9</v>
      </c>
      <c r="AF14" s="256"/>
      <c r="AG14" s="256">
        <v>516.9</v>
      </c>
      <c r="AH14" s="257">
        <v>4629.3</v>
      </c>
      <c r="AI14" s="258">
        <v>3677.4</v>
      </c>
      <c r="AJ14" s="258">
        <v>455.9</v>
      </c>
      <c r="AK14" s="258" t="e">
        <f>#REF!</f>
        <v>#REF!</v>
      </c>
      <c r="AL14" s="259">
        <v>11871.3</v>
      </c>
      <c r="AM14" s="259">
        <v>11415.4</v>
      </c>
      <c r="AN14" s="260">
        <v>860</v>
      </c>
      <c r="AO14" s="260">
        <v>3122</v>
      </c>
      <c r="AP14" s="261">
        <v>628.9</v>
      </c>
      <c r="AQ14" s="261">
        <v>628.9</v>
      </c>
      <c r="AR14" s="261">
        <v>586.5</v>
      </c>
      <c r="AS14" s="261">
        <v>636.4</v>
      </c>
      <c r="AT14" s="261">
        <v>3050</v>
      </c>
      <c r="AU14" s="261">
        <v>80</v>
      </c>
      <c r="AV14" s="261">
        <v>408</v>
      </c>
      <c r="AW14" s="261">
        <v>612</v>
      </c>
      <c r="AX14" s="261">
        <v>980</v>
      </c>
      <c r="AY14" s="261">
        <v>612</v>
      </c>
      <c r="AZ14" s="261">
        <v>650</v>
      </c>
      <c r="BA14" s="262">
        <v>81</v>
      </c>
      <c r="BB14" s="263">
        <f t="shared" si="3"/>
        <v>5.3999999999999999E-2</v>
      </c>
      <c r="BC14" s="259">
        <v>125</v>
      </c>
      <c r="BD14" s="264" t="s">
        <v>41</v>
      </c>
      <c r="BE14" s="264" t="s">
        <v>33</v>
      </c>
      <c r="BF14" s="264" t="s">
        <v>34</v>
      </c>
      <c r="BG14" s="265" t="s">
        <v>10</v>
      </c>
      <c r="BH14" s="265" t="s">
        <v>12</v>
      </c>
      <c r="BI14" s="265" t="s">
        <v>82</v>
      </c>
      <c r="BJ14" s="265">
        <v>2</v>
      </c>
      <c r="BK14" s="264">
        <v>2013</v>
      </c>
      <c r="BL14" s="266">
        <v>1</v>
      </c>
      <c r="BM14" s="266">
        <v>1</v>
      </c>
      <c r="BN14" s="266">
        <v>1</v>
      </c>
      <c r="BO14" s="266">
        <v>3</v>
      </c>
      <c r="BP14" s="266" t="s">
        <v>58</v>
      </c>
      <c r="BQ14" s="267">
        <v>1</v>
      </c>
      <c r="BR14" s="267">
        <v>1</v>
      </c>
      <c r="BS14" s="267">
        <v>1</v>
      </c>
      <c r="BT14" s="267" t="s">
        <v>58</v>
      </c>
      <c r="BU14" s="266" t="s">
        <v>58</v>
      </c>
      <c r="BV14" s="274">
        <v>1354.8</v>
      </c>
      <c r="BW14" s="274">
        <v>169</v>
      </c>
      <c r="BX14" s="274">
        <v>36.4</v>
      </c>
      <c r="BY14" s="274">
        <v>685.1</v>
      </c>
      <c r="BZ14" s="274" t="s">
        <v>111</v>
      </c>
      <c r="CA14" s="274">
        <v>0</v>
      </c>
      <c r="CB14" s="274">
        <v>0</v>
      </c>
      <c r="CC14" s="274">
        <v>1</v>
      </c>
      <c r="CD14" s="274">
        <v>11</v>
      </c>
      <c r="CE14" s="274" t="s">
        <v>373</v>
      </c>
      <c r="CF14" s="274">
        <v>0</v>
      </c>
      <c r="CG14" s="274" t="s">
        <v>334</v>
      </c>
      <c r="CH14" s="274" t="s">
        <v>335</v>
      </c>
      <c r="CI14" s="275" t="s">
        <v>333</v>
      </c>
      <c r="CJ14" s="274" t="s">
        <v>336</v>
      </c>
      <c r="CK14" s="270">
        <v>265</v>
      </c>
      <c r="CL14" s="270">
        <v>315.60000000000002</v>
      </c>
      <c r="CM14" s="270">
        <v>10.8</v>
      </c>
      <c r="CN14" s="270"/>
      <c r="CO14" s="270">
        <v>21.5</v>
      </c>
      <c r="CP14" s="270">
        <v>987.2</v>
      </c>
      <c r="CQ14" s="271" t="s">
        <v>772</v>
      </c>
    </row>
    <row r="15" spans="1:95" ht="51.05" customHeight="1" x14ac:dyDescent="0.3">
      <c r="A15" s="128">
        <v>12</v>
      </c>
      <c r="B15" s="250" t="s">
        <v>274</v>
      </c>
      <c r="C15" s="128" t="s">
        <v>64</v>
      </c>
      <c r="D15" s="233" t="s">
        <v>278</v>
      </c>
      <c r="E15" s="128">
        <v>76</v>
      </c>
      <c r="F15" s="128">
        <v>423832</v>
      </c>
      <c r="G15" s="234" t="s">
        <v>690</v>
      </c>
      <c r="H15" s="238" t="s">
        <v>694</v>
      </c>
      <c r="I15" s="128" t="s">
        <v>814</v>
      </c>
      <c r="J15" s="128">
        <v>2014</v>
      </c>
      <c r="K15" s="163">
        <v>41991</v>
      </c>
      <c r="L15" s="163">
        <v>41991</v>
      </c>
      <c r="M15" s="163" t="s">
        <v>623</v>
      </c>
      <c r="N15" s="163"/>
      <c r="O15" s="163" t="s">
        <v>583</v>
      </c>
      <c r="P15" s="236">
        <v>9892</v>
      </c>
      <c r="Q15" s="236" t="s">
        <v>385</v>
      </c>
      <c r="R15" s="252" t="s">
        <v>280</v>
      </c>
      <c r="S15" s="252">
        <v>1</v>
      </c>
      <c r="T15" s="252" t="s">
        <v>281</v>
      </c>
      <c r="U15" s="252">
        <v>125</v>
      </c>
      <c r="V15" s="252">
        <f t="shared" si="0"/>
        <v>126</v>
      </c>
      <c r="W15" s="252">
        <v>63</v>
      </c>
      <c r="X15" s="252">
        <v>32</v>
      </c>
      <c r="Y15" s="252">
        <v>31</v>
      </c>
      <c r="Z15" s="252"/>
      <c r="AA15" s="252"/>
      <c r="AB15" s="253">
        <v>219</v>
      </c>
      <c r="AC15" s="254">
        <f t="shared" si="1"/>
        <v>8775</v>
      </c>
      <c r="AD15" s="255">
        <v>8073.9</v>
      </c>
      <c r="AE15" s="255">
        <f t="shared" si="2"/>
        <v>701.1</v>
      </c>
      <c r="AF15" s="256"/>
      <c r="AG15" s="256">
        <v>701.1</v>
      </c>
      <c r="AH15" s="257">
        <v>4115</v>
      </c>
      <c r="AI15" s="258">
        <v>3967.3</v>
      </c>
      <c r="AJ15" s="258">
        <v>486.6</v>
      </c>
      <c r="AK15" s="258" t="e">
        <f>#REF!</f>
        <v>#REF!</v>
      </c>
      <c r="AL15" s="259">
        <v>11891.5</v>
      </c>
      <c r="AM15" s="259">
        <v>11404.9</v>
      </c>
      <c r="AN15" s="260" t="s">
        <v>513</v>
      </c>
      <c r="AO15" s="260">
        <v>9442</v>
      </c>
      <c r="AP15" s="261">
        <v>657.4</v>
      </c>
      <c r="AQ15" s="261">
        <v>657.4</v>
      </c>
      <c r="AR15" s="261">
        <f>640.4+57.9</f>
        <v>698.3</v>
      </c>
      <c r="AS15" s="261">
        <v>636.4</v>
      </c>
      <c r="AT15" s="261">
        <v>3080</v>
      </c>
      <c r="AU15" s="261">
        <v>90</v>
      </c>
      <c r="AV15" s="261">
        <v>310</v>
      </c>
      <c r="AW15" s="261">
        <v>595</v>
      </c>
      <c r="AX15" s="261">
        <v>920</v>
      </c>
      <c r="AY15" s="261">
        <v>590</v>
      </c>
      <c r="AZ15" s="261">
        <v>610</v>
      </c>
      <c r="BA15" s="262">
        <v>72</v>
      </c>
      <c r="BB15" s="263">
        <f t="shared" si="3"/>
        <v>4.7999999999999994E-2</v>
      </c>
      <c r="BC15" s="259">
        <v>125</v>
      </c>
      <c r="BD15" s="264" t="s">
        <v>41</v>
      </c>
      <c r="BE15" s="264" t="s">
        <v>33</v>
      </c>
      <c r="BF15" s="264" t="s">
        <v>34</v>
      </c>
      <c r="BG15" s="265" t="s">
        <v>10</v>
      </c>
      <c r="BH15" s="265" t="s">
        <v>12</v>
      </c>
      <c r="BI15" s="265" t="s">
        <v>82</v>
      </c>
      <c r="BJ15" s="265">
        <v>2</v>
      </c>
      <c r="BK15" s="264">
        <v>2014</v>
      </c>
      <c r="BL15" s="266">
        <v>1</v>
      </c>
      <c r="BM15" s="266">
        <v>1</v>
      </c>
      <c r="BN15" s="266">
        <v>1</v>
      </c>
      <c r="BO15" s="266">
        <v>3</v>
      </c>
      <c r="BP15" s="266" t="s">
        <v>58</v>
      </c>
      <c r="BQ15" s="267">
        <v>1</v>
      </c>
      <c r="BR15" s="267">
        <v>1</v>
      </c>
      <c r="BS15" s="267">
        <v>1</v>
      </c>
      <c r="BT15" s="267" t="s">
        <v>58</v>
      </c>
      <c r="BU15" s="266" t="s">
        <v>58</v>
      </c>
      <c r="BV15" s="274" t="s">
        <v>512</v>
      </c>
      <c r="BW15" s="274" t="s">
        <v>511</v>
      </c>
      <c r="BX15" s="274" t="s">
        <v>510</v>
      </c>
      <c r="BY15" s="274" t="s">
        <v>501</v>
      </c>
      <c r="BZ15" s="274" t="s">
        <v>363</v>
      </c>
      <c r="CA15" s="274" t="s">
        <v>86</v>
      </c>
      <c r="CB15" s="274" t="s">
        <v>86</v>
      </c>
      <c r="CC15" s="274" t="s">
        <v>112</v>
      </c>
      <c r="CD15" s="274" t="s">
        <v>358</v>
      </c>
      <c r="CE15" s="274" t="s">
        <v>358</v>
      </c>
      <c r="CF15" s="274" t="s">
        <v>86</v>
      </c>
      <c r="CG15" s="274" t="s">
        <v>360</v>
      </c>
      <c r="CH15" s="274" t="s">
        <v>359</v>
      </c>
      <c r="CI15" s="276" t="s">
        <v>399</v>
      </c>
      <c r="CJ15" s="274" t="s">
        <v>361</v>
      </c>
      <c r="CK15" s="270">
        <v>239.7</v>
      </c>
      <c r="CL15" s="270">
        <v>294.10000000000002</v>
      </c>
      <c r="CM15" s="270">
        <v>9.8000000000000007</v>
      </c>
      <c r="CN15" s="270">
        <v>40.6</v>
      </c>
      <c r="CO15" s="270">
        <v>13.7</v>
      </c>
      <c r="CP15" s="270">
        <f>867.1+119.1</f>
        <v>986.2</v>
      </c>
      <c r="CQ15" s="271" t="s">
        <v>772</v>
      </c>
    </row>
    <row r="16" spans="1:95" ht="59.95" customHeight="1" x14ac:dyDescent="0.3">
      <c r="A16" s="128">
        <v>13</v>
      </c>
      <c r="B16" s="250" t="s">
        <v>275</v>
      </c>
      <c r="C16" s="128" t="s">
        <v>64</v>
      </c>
      <c r="D16" s="233" t="s">
        <v>278</v>
      </c>
      <c r="E16" s="128" t="s">
        <v>279</v>
      </c>
      <c r="F16" s="128">
        <v>423832</v>
      </c>
      <c r="G16" s="234" t="s">
        <v>690</v>
      </c>
      <c r="H16" s="238" t="s">
        <v>694</v>
      </c>
      <c r="I16" s="128" t="s">
        <v>814</v>
      </c>
      <c r="J16" s="128">
        <v>2014</v>
      </c>
      <c r="K16" s="163">
        <v>41991</v>
      </c>
      <c r="L16" s="163">
        <v>41991</v>
      </c>
      <c r="M16" s="163" t="s">
        <v>623</v>
      </c>
      <c r="N16" s="163"/>
      <c r="O16" s="163" t="s">
        <v>583</v>
      </c>
      <c r="P16" s="236">
        <v>9893</v>
      </c>
      <c r="Q16" s="236" t="s">
        <v>385</v>
      </c>
      <c r="R16" s="252" t="s">
        <v>280</v>
      </c>
      <c r="S16" s="252">
        <v>1</v>
      </c>
      <c r="T16" s="252" t="s">
        <v>221</v>
      </c>
      <c r="U16" s="252">
        <v>128</v>
      </c>
      <c r="V16" s="252">
        <f t="shared" si="0"/>
        <v>128</v>
      </c>
      <c r="W16" s="252">
        <v>64</v>
      </c>
      <c r="X16" s="252">
        <v>32</v>
      </c>
      <c r="Y16" s="252">
        <v>32</v>
      </c>
      <c r="Z16" s="252"/>
      <c r="AA16" s="252"/>
      <c r="AB16" s="253">
        <v>230</v>
      </c>
      <c r="AC16" s="254">
        <f t="shared" si="1"/>
        <v>8768</v>
      </c>
      <c r="AD16" s="255">
        <v>8229.9</v>
      </c>
      <c r="AE16" s="255">
        <f t="shared" si="2"/>
        <v>538.1</v>
      </c>
      <c r="AF16" s="256"/>
      <c r="AG16" s="256">
        <v>538.1</v>
      </c>
      <c r="AH16" s="257">
        <v>4186.6000000000004</v>
      </c>
      <c r="AI16" s="258">
        <v>4048</v>
      </c>
      <c r="AJ16" s="258">
        <v>501.3</v>
      </c>
      <c r="AK16" s="258" t="e">
        <f>#REF!</f>
        <v>#REF!</v>
      </c>
      <c r="AL16" s="259">
        <v>11916</v>
      </c>
      <c r="AM16" s="259">
        <v>11414.7</v>
      </c>
      <c r="AN16" s="260">
        <v>744.6</v>
      </c>
      <c r="AO16" s="260">
        <v>9442</v>
      </c>
      <c r="AP16" s="261">
        <v>657.4</v>
      </c>
      <c r="AQ16" s="261">
        <v>657.4</v>
      </c>
      <c r="AR16" s="261">
        <v>732.3</v>
      </c>
      <c r="AS16" s="261">
        <v>627.79999999999995</v>
      </c>
      <c r="AT16" s="261">
        <v>3085</v>
      </c>
      <c r="AU16" s="261">
        <v>120</v>
      </c>
      <c r="AV16" s="261">
        <v>305</v>
      </c>
      <c r="AW16" s="261">
        <v>585</v>
      </c>
      <c r="AX16" s="261">
        <v>915</v>
      </c>
      <c r="AY16" s="261">
        <v>580</v>
      </c>
      <c r="AZ16" s="261">
        <v>615</v>
      </c>
      <c r="BA16" s="262">
        <v>72</v>
      </c>
      <c r="BB16" s="263">
        <f t="shared" si="3"/>
        <v>4.7999999999999994E-2</v>
      </c>
      <c r="BC16" s="259">
        <v>125</v>
      </c>
      <c r="BD16" s="264" t="s">
        <v>41</v>
      </c>
      <c r="BE16" s="264" t="s">
        <v>33</v>
      </c>
      <c r="BF16" s="264" t="s">
        <v>34</v>
      </c>
      <c r="BG16" s="265" t="s">
        <v>10</v>
      </c>
      <c r="BH16" s="265" t="s">
        <v>12</v>
      </c>
      <c r="BI16" s="265" t="s">
        <v>82</v>
      </c>
      <c r="BJ16" s="265">
        <v>2</v>
      </c>
      <c r="BK16" s="264">
        <v>2014</v>
      </c>
      <c r="BL16" s="266">
        <v>1</v>
      </c>
      <c r="BM16" s="266">
        <v>1</v>
      </c>
      <c r="BN16" s="266">
        <v>1</v>
      </c>
      <c r="BO16" s="266">
        <v>3</v>
      </c>
      <c r="BP16" s="266" t="s">
        <v>58</v>
      </c>
      <c r="BQ16" s="267">
        <v>1</v>
      </c>
      <c r="BR16" s="267">
        <v>1</v>
      </c>
      <c r="BS16" s="267">
        <v>1</v>
      </c>
      <c r="BT16" s="267" t="s">
        <v>58</v>
      </c>
      <c r="BU16" s="266" t="s">
        <v>58</v>
      </c>
      <c r="BV16" s="274" t="s">
        <v>509</v>
      </c>
      <c r="BW16" s="274" t="s">
        <v>508</v>
      </c>
      <c r="BX16" s="274" t="s">
        <v>507</v>
      </c>
      <c r="BY16" s="274" t="s">
        <v>506</v>
      </c>
      <c r="BZ16" s="274" t="s">
        <v>364</v>
      </c>
      <c r="CA16" s="274" t="s">
        <v>86</v>
      </c>
      <c r="CB16" s="274" t="s">
        <v>86</v>
      </c>
      <c r="CC16" s="274" t="s">
        <v>112</v>
      </c>
      <c r="CD16" s="274" t="s">
        <v>358</v>
      </c>
      <c r="CE16" s="274" t="s">
        <v>358</v>
      </c>
      <c r="CF16" s="274" t="s">
        <v>86</v>
      </c>
      <c r="CG16" s="274" t="s">
        <v>360</v>
      </c>
      <c r="CH16" s="274" t="s">
        <v>359</v>
      </c>
      <c r="CI16" s="276" t="s">
        <v>399</v>
      </c>
      <c r="CJ16" s="274" t="s">
        <v>362</v>
      </c>
      <c r="CK16" s="270">
        <v>238</v>
      </c>
      <c r="CL16" s="270">
        <v>292.5</v>
      </c>
      <c r="CM16" s="270">
        <v>10.5</v>
      </c>
      <c r="CN16" s="270">
        <v>40.1</v>
      </c>
      <c r="CO16" s="270">
        <v>14.4</v>
      </c>
      <c r="CP16" s="270">
        <f>858.8+119.7</f>
        <v>978.5</v>
      </c>
      <c r="CQ16" s="271" t="s">
        <v>772</v>
      </c>
    </row>
    <row r="17" spans="1:95" ht="59.2" customHeight="1" x14ac:dyDescent="0.3">
      <c r="A17" s="128">
        <v>14</v>
      </c>
      <c r="B17" s="250" t="s">
        <v>276</v>
      </c>
      <c r="C17" s="128" t="s">
        <v>459</v>
      </c>
      <c r="D17" s="233" t="s">
        <v>310</v>
      </c>
      <c r="E17" s="128" t="s">
        <v>311</v>
      </c>
      <c r="F17" s="128">
        <v>423815</v>
      </c>
      <c r="G17" s="234" t="s">
        <v>686</v>
      </c>
      <c r="H17" s="238" t="s">
        <v>691</v>
      </c>
      <c r="I17" s="128" t="s">
        <v>815</v>
      </c>
      <c r="J17" s="128">
        <v>2015</v>
      </c>
      <c r="K17" s="163">
        <v>42009</v>
      </c>
      <c r="L17" s="163">
        <v>42009</v>
      </c>
      <c r="M17" s="163" t="s">
        <v>623</v>
      </c>
      <c r="N17" s="163"/>
      <c r="O17" s="163" t="s">
        <v>578</v>
      </c>
      <c r="P17" s="236">
        <v>9952</v>
      </c>
      <c r="Q17" s="236" t="s">
        <v>390</v>
      </c>
      <c r="R17" s="252">
        <v>17</v>
      </c>
      <c r="S17" s="252">
        <v>1</v>
      </c>
      <c r="T17" s="252" t="s">
        <v>323</v>
      </c>
      <c r="U17" s="252">
        <v>169</v>
      </c>
      <c r="V17" s="252">
        <f t="shared" si="0"/>
        <v>169</v>
      </c>
      <c r="W17" s="252">
        <v>102</v>
      </c>
      <c r="X17" s="252">
        <v>33</v>
      </c>
      <c r="Y17" s="252">
        <v>34</v>
      </c>
      <c r="Z17" s="252"/>
      <c r="AA17" s="252"/>
      <c r="AB17" s="253">
        <v>298</v>
      </c>
      <c r="AC17" s="254">
        <f t="shared" si="1"/>
        <v>8561.6</v>
      </c>
      <c r="AD17" s="255">
        <v>8526</v>
      </c>
      <c r="AE17" s="255">
        <f t="shared" si="2"/>
        <v>35.6</v>
      </c>
      <c r="AF17" s="256"/>
      <c r="AG17" s="256">
        <v>35.6</v>
      </c>
      <c r="AH17" s="257">
        <v>4827.8999999999996</v>
      </c>
      <c r="AI17" s="258">
        <v>3698.1</v>
      </c>
      <c r="AJ17" s="258">
        <v>554.20000000000005</v>
      </c>
      <c r="AK17" s="258" t="e">
        <f>#REF!</f>
        <v>#REF!</v>
      </c>
      <c r="AL17" s="259">
        <v>11781</v>
      </c>
      <c r="AM17" s="259">
        <v>11226.8</v>
      </c>
      <c r="AN17" s="260">
        <v>824</v>
      </c>
      <c r="AO17" s="260">
        <v>3908</v>
      </c>
      <c r="AP17" s="261">
        <v>730.6</v>
      </c>
      <c r="AQ17" s="261">
        <v>730.6</v>
      </c>
      <c r="AR17" s="261">
        <f>642.7+45.5</f>
        <v>688.2</v>
      </c>
      <c r="AS17" s="261">
        <v>614.79999999999995</v>
      </c>
      <c r="AT17" s="261">
        <v>3205</v>
      </c>
      <c r="AU17" s="261">
        <v>150</v>
      </c>
      <c r="AV17" s="261">
        <v>410</v>
      </c>
      <c r="AW17" s="261">
        <v>630</v>
      </c>
      <c r="AX17" s="261">
        <v>1150</v>
      </c>
      <c r="AY17" s="261">
        <v>635</v>
      </c>
      <c r="AZ17" s="261">
        <v>640</v>
      </c>
      <c r="BA17" s="262">
        <v>72</v>
      </c>
      <c r="BB17" s="263">
        <f t="shared" si="3"/>
        <v>4.7999999999999994E-2</v>
      </c>
      <c r="BC17" s="259">
        <v>125</v>
      </c>
      <c r="BD17" s="264" t="s">
        <v>41</v>
      </c>
      <c r="BE17" s="264" t="s">
        <v>33</v>
      </c>
      <c r="BF17" s="264" t="s">
        <v>34</v>
      </c>
      <c r="BG17" s="265" t="s">
        <v>10</v>
      </c>
      <c r="BH17" s="265" t="s">
        <v>12</v>
      </c>
      <c r="BI17" s="265" t="s">
        <v>82</v>
      </c>
      <c r="BJ17" s="265">
        <v>2</v>
      </c>
      <c r="BK17" s="264">
        <v>2015</v>
      </c>
      <c r="BL17" s="266">
        <v>1</v>
      </c>
      <c r="BM17" s="266">
        <v>1</v>
      </c>
      <c r="BN17" s="266">
        <v>1</v>
      </c>
      <c r="BO17" s="266">
        <v>3</v>
      </c>
      <c r="BP17" s="266" t="s">
        <v>58</v>
      </c>
      <c r="BQ17" s="267">
        <v>1</v>
      </c>
      <c r="BR17" s="267">
        <v>1</v>
      </c>
      <c r="BS17" s="267">
        <v>1</v>
      </c>
      <c r="BT17" s="267">
        <v>1</v>
      </c>
      <c r="BU17" s="266" t="s">
        <v>58</v>
      </c>
      <c r="BV17" s="274">
        <v>2220</v>
      </c>
      <c r="BW17" s="274">
        <v>505</v>
      </c>
      <c r="BX17" s="274">
        <v>110</v>
      </c>
      <c r="BY17" s="274">
        <v>1299.0999999999999</v>
      </c>
      <c r="BZ17" s="274" t="s">
        <v>363</v>
      </c>
      <c r="CA17" s="274">
        <v>0</v>
      </c>
      <c r="CB17" s="274">
        <v>30</v>
      </c>
      <c r="CC17" s="274">
        <v>1</v>
      </c>
      <c r="CD17" s="274">
        <v>2</v>
      </c>
      <c r="CE17" s="274">
        <v>2</v>
      </c>
      <c r="CF17" s="274">
        <v>0</v>
      </c>
      <c r="CG17" s="274">
        <v>292.77</v>
      </c>
      <c r="CH17" s="274">
        <v>309.98</v>
      </c>
      <c r="CI17" s="275" t="s">
        <v>333</v>
      </c>
      <c r="CJ17" s="274"/>
      <c r="CK17" s="270">
        <v>197.7</v>
      </c>
      <c r="CL17" s="270">
        <v>242.6</v>
      </c>
      <c r="CM17" s="270">
        <v>10.4</v>
      </c>
      <c r="CN17" s="270">
        <v>185.6</v>
      </c>
      <c r="CO17" s="270">
        <v>6.6</v>
      </c>
      <c r="CP17" s="270">
        <f>775.9+136</f>
        <v>911.9</v>
      </c>
      <c r="CQ17" s="271" t="s">
        <v>772</v>
      </c>
    </row>
    <row r="18" spans="1:95" ht="53.7" customHeight="1" x14ac:dyDescent="0.3">
      <c r="A18" s="128">
        <v>15</v>
      </c>
      <c r="B18" s="250" t="s">
        <v>277</v>
      </c>
      <c r="C18" s="128" t="s">
        <v>64</v>
      </c>
      <c r="D18" s="233" t="s">
        <v>320</v>
      </c>
      <c r="E18" s="128">
        <v>28</v>
      </c>
      <c r="F18" s="128">
        <v>423809</v>
      </c>
      <c r="G18" s="234" t="s">
        <v>688</v>
      </c>
      <c r="H18" s="240" t="s">
        <v>695</v>
      </c>
      <c r="I18" s="128" t="s">
        <v>813</v>
      </c>
      <c r="J18" s="128">
        <v>2015</v>
      </c>
      <c r="K18" s="163">
        <v>42088</v>
      </c>
      <c r="L18" s="163">
        <v>42088</v>
      </c>
      <c r="M18" s="163" t="s">
        <v>623</v>
      </c>
      <c r="N18" s="163"/>
      <c r="O18" s="163" t="s">
        <v>580</v>
      </c>
      <c r="P18" s="236">
        <v>10021</v>
      </c>
      <c r="Q18" s="236" t="s">
        <v>391</v>
      </c>
      <c r="R18" s="252">
        <v>17</v>
      </c>
      <c r="S18" s="252">
        <v>1</v>
      </c>
      <c r="T18" s="252" t="s">
        <v>823</v>
      </c>
      <c r="U18" s="252">
        <v>143</v>
      </c>
      <c r="V18" s="252">
        <f t="shared" si="0"/>
        <v>127</v>
      </c>
      <c r="W18" s="252">
        <v>79</v>
      </c>
      <c r="X18" s="252">
        <v>32</v>
      </c>
      <c r="Y18" s="252">
        <v>15</v>
      </c>
      <c r="Z18" s="252">
        <v>1</v>
      </c>
      <c r="AA18" s="252"/>
      <c r="AB18" s="253">
        <v>242</v>
      </c>
      <c r="AC18" s="254">
        <f t="shared" si="1"/>
        <v>9631.9</v>
      </c>
      <c r="AD18" s="255">
        <v>8137.3</v>
      </c>
      <c r="AE18" s="255">
        <f t="shared" si="2"/>
        <v>1494.6</v>
      </c>
      <c r="AF18" s="256"/>
      <c r="AG18" s="256">
        <v>1494.6</v>
      </c>
      <c r="AH18" s="257">
        <v>4353.8</v>
      </c>
      <c r="AI18" s="258">
        <v>3823.6</v>
      </c>
      <c r="AJ18" s="258">
        <v>421.6</v>
      </c>
      <c r="AK18" s="258" t="e">
        <f>#REF!</f>
        <v>#REF!</v>
      </c>
      <c r="AL18" s="259">
        <v>12772.6</v>
      </c>
      <c r="AM18" s="259">
        <v>12351</v>
      </c>
      <c r="AN18" s="260">
        <v>1773.9</v>
      </c>
      <c r="AO18" s="260">
        <v>4673</v>
      </c>
      <c r="AP18" s="261">
        <v>778.5</v>
      </c>
      <c r="AQ18" s="261">
        <v>778.5</v>
      </c>
      <c r="AR18" s="261">
        <v>702.9</v>
      </c>
      <c r="AS18" s="261">
        <v>600</v>
      </c>
      <c r="AT18" s="261">
        <v>3095</v>
      </c>
      <c r="AU18" s="261">
        <v>110</v>
      </c>
      <c r="AV18" s="261">
        <v>315</v>
      </c>
      <c r="AW18" s="261">
        <v>590</v>
      </c>
      <c r="AX18" s="261">
        <v>925</v>
      </c>
      <c r="AY18" s="261">
        <v>585</v>
      </c>
      <c r="AZ18" s="261">
        <v>620</v>
      </c>
      <c r="BA18" s="262">
        <v>69</v>
      </c>
      <c r="BB18" s="263">
        <f t="shared" si="3"/>
        <v>4.6000000000000006E-2</v>
      </c>
      <c r="BC18" s="259">
        <v>125</v>
      </c>
      <c r="BD18" s="264" t="s">
        <v>41</v>
      </c>
      <c r="BE18" s="264" t="s">
        <v>33</v>
      </c>
      <c r="BF18" s="264" t="s">
        <v>34</v>
      </c>
      <c r="BG18" s="265" t="s">
        <v>10</v>
      </c>
      <c r="BH18" s="265" t="s">
        <v>12</v>
      </c>
      <c r="BI18" s="265" t="s">
        <v>82</v>
      </c>
      <c r="BJ18" s="265">
        <v>2</v>
      </c>
      <c r="BK18" s="264">
        <v>2015</v>
      </c>
      <c r="BL18" s="266">
        <v>1</v>
      </c>
      <c r="BM18" s="266">
        <v>1</v>
      </c>
      <c r="BN18" s="266">
        <v>1</v>
      </c>
      <c r="BO18" s="266">
        <v>3</v>
      </c>
      <c r="BP18" s="266" t="s">
        <v>58</v>
      </c>
      <c r="BQ18" s="267">
        <v>1</v>
      </c>
      <c r="BR18" s="267">
        <v>1</v>
      </c>
      <c r="BS18" s="267">
        <v>1</v>
      </c>
      <c r="BT18" s="267">
        <v>1</v>
      </c>
      <c r="BU18" s="266" t="s">
        <v>58</v>
      </c>
      <c r="BV18" s="274">
        <v>1735</v>
      </c>
      <c r="BW18" s="274">
        <v>360</v>
      </c>
      <c r="BX18" s="274">
        <v>118</v>
      </c>
      <c r="BY18" s="274">
        <v>1696</v>
      </c>
      <c r="BZ18" s="274">
        <v>137.5</v>
      </c>
      <c r="CA18" s="274">
        <v>0</v>
      </c>
      <c r="CB18" s="274">
        <v>0</v>
      </c>
      <c r="CC18" s="274">
        <v>0</v>
      </c>
      <c r="CD18" s="274">
        <v>2</v>
      </c>
      <c r="CE18" s="274">
        <v>2</v>
      </c>
      <c r="CF18" s="274">
        <v>0</v>
      </c>
      <c r="CG18" s="274">
        <v>405.43</v>
      </c>
      <c r="CH18" s="274">
        <v>465.58</v>
      </c>
      <c r="CI18" s="275" t="s">
        <v>333</v>
      </c>
      <c r="CJ18" s="274"/>
      <c r="CK18" s="270">
        <v>239.3</v>
      </c>
      <c r="CL18" s="270">
        <v>290.60000000000002</v>
      </c>
      <c r="CM18" s="270"/>
      <c r="CN18" s="270">
        <v>364</v>
      </c>
      <c r="CO18" s="270">
        <v>15.2</v>
      </c>
      <c r="CP18" s="270">
        <f>632.7+116.1+7.8</f>
        <v>756.6</v>
      </c>
      <c r="CQ18" s="271" t="s">
        <v>772</v>
      </c>
    </row>
    <row r="19" spans="1:95" ht="47.15" customHeight="1" x14ac:dyDescent="0.3">
      <c r="A19" s="128">
        <v>16</v>
      </c>
      <c r="B19" s="250" t="s">
        <v>369</v>
      </c>
      <c r="C19" s="128" t="s">
        <v>64</v>
      </c>
      <c r="D19" s="233" t="s">
        <v>320</v>
      </c>
      <c r="E19" s="128" t="s">
        <v>370</v>
      </c>
      <c r="F19" s="128">
        <v>423832</v>
      </c>
      <c r="G19" s="234" t="s">
        <v>690</v>
      </c>
      <c r="H19" s="238" t="s">
        <v>694</v>
      </c>
      <c r="I19" s="128" t="s">
        <v>814</v>
      </c>
      <c r="J19" s="128" t="s">
        <v>505</v>
      </c>
      <c r="K19" s="163">
        <v>42291</v>
      </c>
      <c r="L19" s="163">
        <v>42291</v>
      </c>
      <c r="M19" s="163"/>
      <c r="N19" s="163"/>
      <c r="O19" s="163" t="s">
        <v>584</v>
      </c>
      <c r="P19" s="236">
        <v>10404</v>
      </c>
      <c r="Q19" s="236" t="s">
        <v>385</v>
      </c>
      <c r="R19" s="252" t="s">
        <v>371</v>
      </c>
      <c r="S19" s="252">
        <v>1</v>
      </c>
      <c r="T19" s="252" t="s">
        <v>372</v>
      </c>
      <c r="U19" s="252">
        <v>96</v>
      </c>
      <c r="V19" s="252">
        <f t="shared" si="0"/>
        <v>96</v>
      </c>
      <c r="W19" s="252">
        <v>60</v>
      </c>
      <c r="X19" s="252">
        <v>32</v>
      </c>
      <c r="Y19" s="252">
        <v>2</v>
      </c>
      <c r="Z19" s="252">
        <v>2</v>
      </c>
      <c r="AA19" s="252"/>
      <c r="AB19" s="253">
        <v>182</v>
      </c>
      <c r="AC19" s="254">
        <f t="shared" si="1"/>
        <v>5743.3</v>
      </c>
      <c r="AD19" s="255">
        <v>5313</v>
      </c>
      <c r="AE19" s="255">
        <v>430.3</v>
      </c>
      <c r="AF19" s="256"/>
      <c r="AG19" s="256">
        <v>973.7</v>
      </c>
      <c r="AH19" s="257">
        <v>2855.2</v>
      </c>
      <c r="AI19" s="258">
        <v>2460.5</v>
      </c>
      <c r="AJ19" s="258">
        <v>425.9</v>
      </c>
      <c r="AK19" s="258" t="e">
        <f>#REF!</f>
        <v>#REF!</v>
      </c>
      <c r="AL19" s="259">
        <v>8245.1999999999989</v>
      </c>
      <c r="AM19" s="259">
        <v>7819.3</v>
      </c>
      <c r="AN19" s="260">
        <v>802.5</v>
      </c>
      <c r="AO19" s="260">
        <v>9442</v>
      </c>
      <c r="AP19" s="261">
        <v>429.6</v>
      </c>
      <c r="AQ19" s="261">
        <v>429.6</v>
      </c>
      <c r="AR19" s="261">
        <v>544.29999999999995</v>
      </c>
      <c r="AS19" s="261">
        <v>247.9</v>
      </c>
      <c r="AT19" s="261">
        <v>3212.5</v>
      </c>
      <c r="AU19" s="261">
        <v>120</v>
      </c>
      <c r="AV19" s="261">
        <v>308</v>
      </c>
      <c r="AW19" s="261">
        <v>590</v>
      </c>
      <c r="AX19" s="261">
        <v>910</v>
      </c>
      <c r="AY19" s="261">
        <v>585</v>
      </c>
      <c r="AZ19" s="261">
        <v>605</v>
      </c>
      <c r="BA19" s="262">
        <v>58</v>
      </c>
      <c r="BB19" s="263">
        <f t="shared" si="3"/>
        <v>3.8666666666666669E-2</v>
      </c>
      <c r="BC19" s="259">
        <v>125</v>
      </c>
      <c r="BD19" s="264" t="s">
        <v>41</v>
      </c>
      <c r="BE19" s="264" t="s">
        <v>33</v>
      </c>
      <c r="BF19" s="264" t="s">
        <v>34</v>
      </c>
      <c r="BG19" s="265" t="s">
        <v>10</v>
      </c>
      <c r="BH19" s="265" t="s">
        <v>12</v>
      </c>
      <c r="BI19" s="265" t="s">
        <v>82</v>
      </c>
      <c r="BJ19" s="265">
        <v>2</v>
      </c>
      <c r="BK19" s="264">
        <v>2015</v>
      </c>
      <c r="BL19" s="266">
        <v>1</v>
      </c>
      <c r="BM19" s="266">
        <v>1</v>
      </c>
      <c r="BN19" s="266">
        <v>1</v>
      </c>
      <c r="BO19" s="266">
        <v>3</v>
      </c>
      <c r="BP19" s="266" t="s">
        <v>58</v>
      </c>
      <c r="BQ19" s="267">
        <v>1</v>
      </c>
      <c r="BR19" s="267">
        <v>1</v>
      </c>
      <c r="BS19" s="267">
        <v>1</v>
      </c>
      <c r="BT19" s="267">
        <v>1</v>
      </c>
      <c r="BU19" s="266" t="s">
        <v>58</v>
      </c>
      <c r="BV19" s="274" t="s">
        <v>504</v>
      </c>
      <c r="BW19" s="274" t="s">
        <v>503</v>
      </c>
      <c r="BX19" s="274" t="s">
        <v>502</v>
      </c>
      <c r="BY19" s="274" t="s">
        <v>501</v>
      </c>
      <c r="BZ19" s="274" t="s">
        <v>500</v>
      </c>
      <c r="CA19" s="274">
        <v>0</v>
      </c>
      <c r="CB19" s="274">
        <v>0</v>
      </c>
      <c r="CC19" s="274" t="s">
        <v>86</v>
      </c>
      <c r="CD19" s="274" t="s">
        <v>358</v>
      </c>
      <c r="CE19" s="274" t="s">
        <v>358</v>
      </c>
      <c r="CF19" s="274" t="s">
        <v>86</v>
      </c>
      <c r="CG19" s="274" t="s">
        <v>405</v>
      </c>
      <c r="CH19" s="274" t="s">
        <v>406</v>
      </c>
      <c r="CI19" s="275" t="s">
        <v>333</v>
      </c>
      <c r="CJ19" s="274" t="s">
        <v>407</v>
      </c>
      <c r="CK19" s="270">
        <v>235.3</v>
      </c>
      <c r="CL19" s="270">
        <v>285.8</v>
      </c>
      <c r="CM19" s="270"/>
      <c r="CN19" s="270">
        <v>141.30000000000001</v>
      </c>
      <c r="CO19" s="270">
        <v>7.2</v>
      </c>
      <c r="CP19" s="270">
        <f>669.3+115.1</f>
        <v>784.4</v>
      </c>
      <c r="CQ19" s="271" t="s">
        <v>772</v>
      </c>
    </row>
    <row r="20" spans="1:95" ht="48.05" customHeight="1" x14ac:dyDescent="0.35">
      <c r="A20" s="128">
        <v>17</v>
      </c>
      <c r="B20" s="250" t="s">
        <v>412</v>
      </c>
      <c r="C20" s="128" t="s">
        <v>459</v>
      </c>
      <c r="D20" s="233" t="s">
        <v>413</v>
      </c>
      <c r="E20" s="128">
        <v>18</v>
      </c>
      <c r="F20" s="128">
        <v>423827</v>
      </c>
      <c r="G20" s="234" t="s">
        <v>685</v>
      </c>
      <c r="H20" s="238" t="s">
        <v>692</v>
      </c>
      <c r="I20" s="128" t="s">
        <v>816</v>
      </c>
      <c r="J20" s="128">
        <v>2016</v>
      </c>
      <c r="K20" s="163">
        <v>42643</v>
      </c>
      <c r="L20" s="163">
        <v>42643</v>
      </c>
      <c r="M20" s="164" t="s">
        <v>762</v>
      </c>
      <c r="N20" s="163"/>
      <c r="O20" s="163" t="s">
        <v>582</v>
      </c>
      <c r="P20" s="236">
        <v>10766</v>
      </c>
      <c r="Q20" s="241" t="s">
        <v>428</v>
      </c>
      <c r="R20" s="252">
        <v>10</v>
      </c>
      <c r="S20" s="252">
        <v>4</v>
      </c>
      <c r="T20" s="252" t="s">
        <v>417</v>
      </c>
      <c r="U20" s="252">
        <v>360</v>
      </c>
      <c r="V20" s="252">
        <f t="shared" si="0"/>
        <v>360</v>
      </c>
      <c r="W20" s="252">
        <v>120</v>
      </c>
      <c r="X20" s="252">
        <v>120</v>
      </c>
      <c r="Y20" s="252">
        <v>120</v>
      </c>
      <c r="Z20" s="252"/>
      <c r="AA20" s="252"/>
      <c r="AB20" s="253">
        <v>492</v>
      </c>
      <c r="AC20" s="254">
        <f t="shared" si="1"/>
        <v>13107.7</v>
      </c>
      <c r="AD20" s="255">
        <v>13107.7</v>
      </c>
      <c r="AE20" s="255">
        <f t="shared" ref="AE20:AE40" si="4">AF20+AG20</f>
        <v>0</v>
      </c>
      <c r="AF20" s="256"/>
      <c r="AG20" s="256"/>
      <c r="AH20" s="257">
        <v>6420</v>
      </c>
      <c r="AI20" s="258">
        <v>6688.9</v>
      </c>
      <c r="AJ20" s="258">
        <v>1028.9000000000001</v>
      </c>
      <c r="AK20" s="258" t="e">
        <f>#REF!</f>
        <v>#REF!</v>
      </c>
      <c r="AL20" s="259">
        <v>20011.7</v>
      </c>
      <c r="AM20" s="259">
        <v>18982.800000000003</v>
      </c>
      <c r="AN20" s="260">
        <v>2251.9</v>
      </c>
      <c r="AO20" s="260">
        <v>6262.1</v>
      </c>
      <c r="AP20" s="261">
        <v>1788</v>
      </c>
      <c r="AQ20" s="261">
        <v>1788</v>
      </c>
      <c r="AR20" s="261">
        <v>1659</v>
      </c>
      <c r="AS20" s="261">
        <v>1588.3</v>
      </c>
      <c r="AT20" s="261">
        <v>4643.8</v>
      </c>
      <c r="AU20" s="261">
        <v>819</v>
      </c>
      <c r="AV20" s="261">
        <v>1120</v>
      </c>
      <c r="AW20" s="261">
        <v>896</v>
      </c>
      <c r="AX20" s="261">
        <v>2352</v>
      </c>
      <c r="AY20" s="261">
        <v>1450</v>
      </c>
      <c r="AZ20" s="261">
        <v>1340</v>
      </c>
      <c r="BA20" s="262">
        <v>50</v>
      </c>
      <c r="BB20" s="263">
        <f t="shared" si="3"/>
        <v>3.3333333333333333E-2</v>
      </c>
      <c r="BC20" s="259">
        <v>125</v>
      </c>
      <c r="BD20" s="264" t="s">
        <v>41</v>
      </c>
      <c r="BE20" s="264" t="s">
        <v>33</v>
      </c>
      <c r="BF20" s="264" t="s">
        <v>34</v>
      </c>
      <c r="BG20" s="265" t="s">
        <v>10</v>
      </c>
      <c r="BH20" s="265" t="s">
        <v>12</v>
      </c>
      <c r="BI20" s="265" t="s">
        <v>58</v>
      </c>
      <c r="BJ20" s="265">
        <v>4</v>
      </c>
      <c r="BK20" s="264">
        <v>2016</v>
      </c>
      <c r="BL20" s="266">
        <v>1</v>
      </c>
      <c r="BM20" s="266">
        <v>1</v>
      </c>
      <c r="BN20" s="266">
        <v>1</v>
      </c>
      <c r="BO20" s="266">
        <v>6</v>
      </c>
      <c r="BP20" s="266" t="s">
        <v>58</v>
      </c>
      <c r="BQ20" s="267">
        <v>1</v>
      </c>
      <c r="BR20" s="267">
        <v>1</v>
      </c>
      <c r="BS20" s="267">
        <v>1</v>
      </c>
      <c r="BT20" s="267">
        <v>1</v>
      </c>
      <c r="BU20" s="266" t="s">
        <v>58</v>
      </c>
      <c r="BV20" s="274">
        <v>3883.8</v>
      </c>
      <c r="BW20" s="274">
        <v>557.5</v>
      </c>
      <c r="BX20" s="274">
        <v>179</v>
      </c>
      <c r="BY20" s="274">
        <v>1474.6</v>
      </c>
      <c r="BZ20" s="274" t="s">
        <v>58</v>
      </c>
      <c r="CA20" s="274">
        <v>0</v>
      </c>
      <c r="CB20" s="274">
        <v>0</v>
      </c>
      <c r="CC20" s="274">
        <v>2</v>
      </c>
      <c r="CD20" s="274">
        <v>6</v>
      </c>
      <c r="CE20" s="274">
        <v>6</v>
      </c>
      <c r="CF20" s="274">
        <v>0</v>
      </c>
      <c r="CG20" s="274"/>
      <c r="CH20" s="274"/>
      <c r="CI20" s="277" t="s">
        <v>399</v>
      </c>
      <c r="CJ20" s="274"/>
      <c r="CK20" s="270">
        <v>982.1</v>
      </c>
      <c r="CL20" s="270">
        <v>1094.5999999999999</v>
      </c>
      <c r="CM20" s="270">
        <v>22.5</v>
      </c>
      <c r="CN20" s="270"/>
      <c r="CO20" s="270">
        <v>3.8</v>
      </c>
      <c r="CP20" s="270">
        <v>1556.3</v>
      </c>
      <c r="CQ20" s="271" t="s">
        <v>670</v>
      </c>
    </row>
    <row r="21" spans="1:95" ht="48.05" customHeight="1" x14ac:dyDescent="0.35">
      <c r="A21" s="128">
        <v>18</v>
      </c>
      <c r="B21" s="250" t="s">
        <v>421</v>
      </c>
      <c r="C21" s="128" t="s">
        <v>459</v>
      </c>
      <c r="D21" s="233" t="s">
        <v>424</v>
      </c>
      <c r="E21" s="128">
        <v>21</v>
      </c>
      <c r="F21" s="128">
        <v>423827</v>
      </c>
      <c r="G21" s="234" t="s">
        <v>685</v>
      </c>
      <c r="H21" s="238" t="s">
        <v>692</v>
      </c>
      <c r="I21" s="128" t="s">
        <v>816</v>
      </c>
      <c r="J21" s="128">
        <v>2016</v>
      </c>
      <c r="K21" s="163">
        <v>42699</v>
      </c>
      <c r="L21" s="163">
        <v>42699</v>
      </c>
      <c r="M21" s="164" t="s">
        <v>762</v>
      </c>
      <c r="N21" s="163"/>
      <c r="O21" s="163" t="s">
        <v>576</v>
      </c>
      <c r="P21" s="236">
        <v>10748</v>
      </c>
      <c r="Q21" s="241" t="s">
        <v>429</v>
      </c>
      <c r="R21" s="252">
        <v>17</v>
      </c>
      <c r="S21" s="252">
        <v>1</v>
      </c>
      <c r="T21" s="252" t="s">
        <v>426</v>
      </c>
      <c r="U21" s="252">
        <v>119</v>
      </c>
      <c r="V21" s="252">
        <f t="shared" si="0"/>
        <v>119</v>
      </c>
      <c r="W21" s="252">
        <v>59</v>
      </c>
      <c r="X21" s="252">
        <v>60</v>
      </c>
      <c r="Y21" s="252"/>
      <c r="Z21" s="252"/>
      <c r="AA21" s="252"/>
      <c r="AB21" s="253">
        <v>212</v>
      </c>
      <c r="AC21" s="254">
        <f t="shared" si="1"/>
        <v>6348.1</v>
      </c>
      <c r="AD21" s="255">
        <v>6348.1</v>
      </c>
      <c r="AE21" s="255">
        <f t="shared" si="4"/>
        <v>0</v>
      </c>
      <c r="AF21" s="256"/>
      <c r="AG21" s="256"/>
      <c r="AH21" s="257">
        <v>3138.9</v>
      </c>
      <c r="AI21" s="258">
        <v>3209.4</v>
      </c>
      <c r="AJ21" s="258">
        <v>474.4</v>
      </c>
      <c r="AK21" s="258" t="e">
        <f>#REF!</f>
        <v>#REF!</v>
      </c>
      <c r="AL21" s="259">
        <v>9448</v>
      </c>
      <c r="AM21" s="259">
        <v>8973.6</v>
      </c>
      <c r="AN21" s="260">
        <v>762.2</v>
      </c>
      <c r="AO21" s="260">
        <v>2634.8</v>
      </c>
      <c r="AP21" s="261">
        <v>596</v>
      </c>
      <c r="AQ21" s="261">
        <v>596</v>
      </c>
      <c r="AR21" s="261">
        <f>527.5+64.8</f>
        <v>592.29999999999995</v>
      </c>
      <c r="AS21" s="261">
        <v>429.4</v>
      </c>
      <c r="AT21" s="261">
        <v>4850.4120000000003</v>
      </c>
      <c r="AU21" s="261">
        <v>130</v>
      </c>
      <c r="AV21" s="261">
        <v>415</v>
      </c>
      <c r="AW21" s="261">
        <v>503</v>
      </c>
      <c r="AX21" s="261">
        <v>918</v>
      </c>
      <c r="AY21" s="261">
        <v>418</v>
      </c>
      <c r="AZ21" s="261">
        <v>553</v>
      </c>
      <c r="BA21" s="262">
        <v>48</v>
      </c>
      <c r="BB21" s="263">
        <f t="shared" si="3"/>
        <v>3.2000000000000001E-2</v>
      </c>
      <c r="BC21" s="259">
        <v>125</v>
      </c>
      <c r="BD21" s="264" t="s">
        <v>41</v>
      </c>
      <c r="BE21" s="264" t="s">
        <v>33</v>
      </c>
      <c r="BF21" s="264" t="s">
        <v>34</v>
      </c>
      <c r="BG21" s="265" t="s">
        <v>10</v>
      </c>
      <c r="BH21" s="265" t="s">
        <v>12</v>
      </c>
      <c r="BI21" s="265" t="s">
        <v>82</v>
      </c>
      <c r="BJ21" s="265">
        <v>2</v>
      </c>
      <c r="BK21" s="264">
        <v>2016</v>
      </c>
      <c r="BL21" s="266">
        <v>1</v>
      </c>
      <c r="BM21" s="266">
        <v>1</v>
      </c>
      <c r="BN21" s="266">
        <v>1</v>
      </c>
      <c r="BO21" s="266">
        <v>3</v>
      </c>
      <c r="BP21" s="266" t="s">
        <v>58</v>
      </c>
      <c r="BQ21" s="267">
        <v>1</v>
      </c>
      <c r="BR21" s="267">
        <v>1</v>
      </c>
      <c r="BS21" s="267">
        <v>1</v>
      </c>
      <c r="BT21" s="267">
        <v>1</v>
      </c>
      <c r="BU21" s="266" t="s">
        <v>58</v>
      </c>
      <c r="BV21" s="274" t="s">
        <v>718</v>
      </c>
      <c r="BW21" s="274" t="s">
        <v>719</v>
      </c>
      <c r="BX21" s="274">
        <v>105</v>
      </c>
      <c r="BY21" s="274" t="s">
        <v>720</v>
      </c>
      <c r="BZ21" s="274" t="s">
        <v>58</v>
      </c>
      <c r="CA21" s="274">
        <v>0</v>
      </c>
      <c r="CB21" s="274">
        <v>0</v>
      </c>
      <c r="CC21" s="274" t="s">
        <v>86</v>
      </c>
      <c r="CD21" s="274" t="s">
        <v>112</v>
      </c>
      <c r="CE21" s="274" t="s">
        <v>112</v>
      </c>
      <c r="CF21" s="274" t="s">
        <v>86</v>
      </c>
      <c r="CG21" s="274">
        <v>65.34</v>
      </c>
      <c r="CH21" s="274">
        <v>110.94</v>
      </c>
      <c r="CI21" s="275" t="s">
        <v>333</v>
      </c>
      <c r="CJ21" s="274"/>
      <c r="CK21" s="270">
        <v>232.4</v>
      </c>
      <c r="CL21" s="270">
        <v>1265.5</v>
      </c>
      <c r="CM21" s="270">
        <v>13.2</v>
      </c>
      <c r="CN21" s="270"/>
      <c r="CO21" s="270">
        <v>3.8</v>
      </c>
      <c r="CP21" s="270">
        <v>1265.5</v>
      </c>
      <c r="CQ21" s="271" t="s">
        <v>669</v>
      </c>
    </row>
    <row r="22" spans="1:95" ht="51.05" customHeight="1" x14ac:dyDescent="0.35">
      <c r="A22" s="128">
        <v>19</v>
      </c>
      <c r="B22" s="250" t="s">
        <v>422</v>
      </c>
      <c r="C22" s="128" t="s">
        <v>459</v>
      </c>
      <c r="D22" s="233" t="s">
        <v>425</v>
      </c>
      <c r="E22" s="128">
        <v>11</v>
      </c>
      <c r="F22" s="128">
        <v>423827</v>
      </c>
      <c r="G22" s="234" t="s">
        <v>685</v>
      </c>
      <c r="H22" s="238" t="s">
        <v>692</v>
      </c>
      <c r="I22" s="128" t="s">
        <v>816</v>
      </c>
      <c r="J22" s="128">
        <v>2016</v>
      </c>
      <c r="K22" s="163">
        <v>42732</v>
      </c>
      <c r="L22" s="163">
        <v>42767</v>
      </c>
      <c r="M22" s="164" t="s">
        <v>762</v>
      </c>
      <c r="N22" s="163"/>
      <c r="O22" s="163" t="s">
        <v>582</v>
      </c>
      <c r="P22" s="236">
        <v>10800</v>
      </c>
      <c r="Q22" s="241" t="s">
        <v>430</v>
      </c>
      <c r="R22" s="252">
        <v>10</v>
      </c>
      <c r="S22" s="252">
        <v>4</v>
      </c>
      <c r="T22" s="252" t="s">
        <v>427</v>
      </c>
      <c r="U22" s="252">
        <v>436</v>
      </c>
      <c r="V22" s="252">
        <f t="shared" si="0"/>
        <v>436</v>
      </c>
      <c r="W22" s="252">
        <v>416</v>
      </c>
      <c r="X22" s="252">
        <v>20</v>
      </c>
      <c r="Y22" s="278"/>
      <c r="Z22" s="278"/>
      <c r="AA22" s="278"/>
      <c r="AB22" s="253">
        <v>516</v>
      </c>
      <c r="AC22" s="254">
        <f t="shared" si="1"/>
        <v>12879.300000000001</v>
      </c>
      <c r="AD22" s="255">
        <f>12903.6-24.3</f>
        <v>12879.300000000001</v>
      </c>
      <c r="AE22" s="255">
        <f t="shared" si="4"/>
        <v>0</v>
      </c>
      <c r="AF22" s="256"/>
      <c r="AG22" s="256"/>
      <c r="AH22" s="257">
        <v>6632.6</v>
      </c>
      <c r="AI22" s="258">
        <v>6246.7</v>
      </c>
      <c r="AJ22" s="258">
        <v>998</v>
      </c>
      <c r="AK22" s="258" t="e">
        <f>#REF!</f>
        <v>#REF!</v>
      </c>
      <c r="AL22" s="259">
        <v>19777</v>
      </c>
      <c r="AM22" s="259">
        <v>18779</v>
      </c>
      <c r="AN22" s="260">
        <v>2251.9</v>
      </c>
      <c r="AO22" s="260">
        <v>3757.1</v>
      </c>
      <c r="AP22" s="261">
        <v>1788</v>
      </c>
      <c r="AQ22" s="261">
        <v>1788</v>
      </c>
      <c r="AR22" s="261">
        <v>1578.2</v>
      </c>
      <c r="AS22" s="261">
        <v>1582.1</v>
      </c>
      <c r="AT22" s="261">
        <v>4535.8</v>
      </c>
      <c r="AU22" s="261">
        <v>800</v>
      </c>
      <c r="AV22" s="261">
        <v>1120</v>
      </c>
      <c r="AW22" s="261">
        <v>896</v>
      </c>
      <c r="AX22" s="261">
        <v>2352</v>
      </c>
      <c r="AY22" s="261">
        <v>418</v>
      </c>
      <c r="AZ22" s="261">
        <v>1340</v>
      </c>
      <c r="BA22" s="262">
        <v>48</v>
      </c>
      <c r="BB22" s="263">
        <f t="shared" si="3"/>
        <v>3.2000000000000001E-2</v>
      </c>
      <c r="BC22" s="259">
        <v>125</v>
      </c>
      <c r="BD22" s="264" t="s">
        <v>41</v>
      </c>
      <c r="BE22" s="264" t="s">
        <v>33</v>
      </c>
      <c r="BF22" s="264" t="s">
        <v>34</v>
      </c>
      <c r="BG22" s="265" t="s">
        <v>10</v>
      </c>
      <c r="BH22" s="265" t="s">
        <v>12</v>
      </c>
      <c r="BI22" s="265" t="s">
        <v>58</v>
      </c>
      <c r="BJ22" s="265">
        <v>4</v>
      </c>
      <c r="BK22" s="264">
        <v>2016</v>
      </c>
      <c r="BL22" s="266">
        <v>1</v>
      </c>
      <c r="BM22" s="266">
        <v>1</v>
      </c>
      <c r="BN22" s="266">
        <v>1</v>
      </c>
      <c r="BO22" s="266">
        <v>6</v>
      </c>
      <c r="BP22" s="266" t="s">
        <v>58</v>
      </c>
      <c r="BQ22" s="267">
        <v>1</v>
      </c>
      <c r="BR22" s="267">
        <v>1</v>
      </c>
      <c r="BS22" s="267">
        <v>1</v>
      </c>
      <c r="BT22" s="267">
        <v>1</v>
      </c>
      <c r="BU22" s="266" t="s">
        <v>58</v>
      </c>
      <c r="BV22" s="274">
        <v>1353.7</v>
      </c>
      <c r="BW22" s="274">
        <v>523.79999999999995</v>
      </c>
      <c r="BX22" s="274">
        <v>170</v>
      </c>
      <c r="BY22" s="274">
        <v>1260.5</v>
      </c>
      <c r="BZ22" s="274" t="s">
        <v>463</v>
      </c>
      <c r="CA22" s="274">
        <v>0</v>
      </c>
      <c r="CB22" s="274">
        <v>0</v>
      </c>
      <c r="CC22" s="274">
        <v>1</v>
      </c>
      <c r="CD22" s="274">
        <v>11</v>
      </c>
      <c r="CE22" s="274">
        <v>14</v>
      </c>
      <c r="CF22" s="274" t="s">
        <v>86</v>
      </c>
      <c r="CG22" s="274"/>
      <c r="CH22" s="274"/>
      <c r="CI22" s="279" t="s">
        <v>749</v>
      </c>
      <c r="CJ22" s="274"/>
      <c r="CK22" s="270">
        <v>918.9</v>
      </c>
      <c r="CL22" s="270">
        <v>1103.4000000000001</v>
      </c>
      <c r="CM22" s="270">
        <v>24.3</v>
      </c>
      <c r="CN22" s="270"/>
      <c r="CO22" s="270"/>
      <c r="CP22" s="270">
        <v>1680.1</v>
      </c>
      <c r="CQ22" s="271" t="s">
        <v>670</v>
      </c>
    </row>
    <row r="23" spans="1:95" ht="55.45" customHeight="1" x14ac:dyDescent="0.35">
      <c r="A23" s="128">
        <v>20</v>
      </c>
      <c r="B23" s="250" t="s">
        <v>446</v>
      </c>
      <c r="C23" s="128" t="s">
        <v>459</v>
      </c>
      <c r="D23" s="233" t="s">
        <v>447</v>
      </c>
      <c r="E23" s="128" t="s">
        <v>448</v>
      </c>
      <c r="F23" s="128">
        <v>423821</v>
      </c>
      <c r="G23" s="234" t="s">
        <v>684</v>
      </c>
      <c r="H23" s="238" t="s">
        <v>693</v>
      </c>
      <c r="I23" s="128" t="s">
        <v>818</v>
      </c>
      <c r="J23" s="128">
        <v>2016</v>
      </c>
      <c r="K23" s="163">
        <v>42734</v>
      </c>
      <c r="L23" s="163">
        <v>42796</v>
      </c>
      <c r="M23" s="164" t="s">
        <v>762</v>
      </c>
      <c r="N23" s="163"/>
      <c r="O23" s="163" t="s">
        <v>585</v>
      </c>
      <c r="P23" s="236">
        <v>10422</v>
      </c>
      <c r="Q23" s="236" t="s">
        <v>468</v>
      </c>
      <c r="R23" s="252">
        <v>18</v>
      </c>
      <c r="S23" s="252">
        <v>1</v>
      </c>
      <c r="T23" s="252" t="s">
        <v>462</v>
      </c>
      <c r="U23" s="252">
        <v>152</v>
      </c>
      <c r="V23" s="252">
        <f t="shared" si="0"/>
        <v>151</v>
      </c>
      <c r="W23" s="252">
        <v>37</v>
      </c>
      <c r="X23" s="252">
        <v>64</v>
      </c>
      <c r="Y23" s="252">
        <v>48</v>
      </c>
      <c r="Z23" s="252">
        <v>2</v>
      </c>
      <c r="AA23" s="252"/>
      <c r="AB23" s="253">
        <v>272</v>
      </c>
      <c r="AC23" s="254">
        <f t="shared" si="1"/>
        <v>8970.4</v>
      </c>
      <c r="AD23" s="255">
        <v>8492.1</v>
      </c>
      <c r="AE23" s="255">
        <f t="shared" si="4"/>
        <v>478.29999999999995</v>
      </c>
      <c r="AF23" s="256">
        <v>323.2</v>
      </c>
      <c r="AG23" s="256">
        <v>155.1</v>
      </c>
      <c r="AH23" s="257">
        <v>4351.7</v>
      </c>
      <c r="AI23" s="258">
        <v>4141.3</v>
      </c>
      <c r="AJ23" s="258">
        <v>478.3</v>
      </c>
      <c r="AK23" s="258" t="e">
        <f>#REF!</f>
        <v>#REF!</v>
      </c>
      <c r="AL23" s="259">
        <v>12319.3</v>
      </c>
      <c r="AM23" s="259">
        <v>11841</v>
      </c>
      <c r="AN23" s="260">
        <v>878.6</v>
      </c>
      <c r="AO23" s="260">
        <v>5611.7</v>
      </c>
      <c r="AP23" s="261">
        <v>666</v>
      </c>
      <c r="AQ23" s="261">
        <v>666</v>
      </c>
      <c r="AR23" s="261">
        <v>636.29999999999995</v>
      </c>
      <c r="AS23" s="261">
        <v>615.9</v>
      </c>
      <c r="AT23" s="261">
        <v>5217.2</v>
      </c>
      <c r="AU23" s="261">
        <v>552.17999999999995</v>
      </c>
      <c r="AV23" s="261">
        <v>528</v>
      </c>
      <c r="AW23" s="261">
        <v>598</v>
      </c>
      <c r="AX23" s="261">
        <v>502</v>
      </c>
      <c r="AY23" s="261">
        <v>640</v>
      </c>
      <c r="AZ23" s="261">
        <v>1600</v>
      </c>
      <c r="BA23" s="262">
        <v>48</v>
      </c>
      <c r="BB23" s="263">
        <f t="shared" si="3"/>
        <v>3.2000000000000001E-2</v>
      </c>
      <c r="BC23" s="259">
        <v>125</v>
      </c>
      <c r="BD23" s="264" t="s">
        <v>41</v>
      </c>
      <c r="BE23" s="264" t="s">
        <v>33</v>
      </c>
      <c r="BF23" s="264" t="s">
        <v>34</v>
      </c>
      <c r="BG23" s="265" t="s">
        <v>10</v>
      </c>
      <c r="BH23" s="265" t="s">
        <v>12</v>
      </c>
      <c r="BI23" s="265" t="s">
        <v>82</v>
      </c>
      <c r="BJ23" s="265">
        <v>2</v>
      </c>
      <c r="BK23" s="264">
        <v>2016</v>
      </c>
      <c r="BL23" s="266">
        <v>1</v>
      </c>
      <c r="BM23" s="266">
        <v>1</v>
      </c>
      <c r="BN23" s="266">
        <v>1</v>
      </c>
      <c r="BO23" s="266">
        <v>3</v>
      </c>
      <c r="BP23" s="266" t="s">
        <v>58</v>
      </c>
      <c r="BQ23" s="267">
        <v>1</v>
      </c>
      <c r="BR23" s="267">
        <v>1</v>
      </c>
      <c r="BS23" s="267">
        <v>1</v>
      </c>
      <c r="BT23" s="267">
        <v>1</v>
      </c>
      <c r="BU23" s="266" t="s">
        <v>58</v>
      </c>
      <c r="BV23" s="274">
        <v>1902.3</v>
      </c>
      <c r="BW23" s="274">
        <v>868.4</v>
      </c>
      <c r="BX23" s="274">
        <v>140</v>
      </c>
      <c r="BY23" s="274">
        <v>1562.7</v>
      </c>
      <c r="BZ23" s="274" t="s">
        <v>461</v>
      </c>
      <c r="CA23" s="274">
        <v>0</v>
      </c>
      <c r="CB23" s="274">
        <v>0</v>
      </c>
      <c r="CC23" s="274">
        <v>0</v>
      </c>
      <c r="CD23" s="274">
        <v>1</v>
      </c>
      <c r="CE23" s="274">
        <v>1</v>
      </c>
      <c r="CF23" s="274">
        <v>0</v>
      </c>
      <c r="CG23" s="274"/>
      <c r="CH23" s="274"/>
      <c r="CI23" s="279" t="s">
        <v>749</v>
      </c>
      <c r="CJ23" s="274"/>
      <c r="CK23" s="270">
        <v>253.6</v>
      </c>
      <c r="CL23" s="270">
        <v>317</v>
      </c>
      <c r="CM23" s="270">
        <v>13.4</v>
      </c>
      <c r="CN23" s="270"/>
      <c r="CO23" s="270">
        <v>62.8</v>
      </c>
      <c r="CP23" s="270">
        <v>1452</v>
      </c>
      <c r="CQ23" s="271" t="s">
        <v>772</v>
      </c>
    </row>
    <row r="24" spans="1:95" ht="49.3" customHeight="1" x14ac:dyDescent="0.35">
      <c r="A24" s="128">
        <v>21</v>
      </c>
      <c r="B24" s="250" t="s">
        <v>451</v>
      </c>
      <c r="C24" s="128" t="s">
        <v>459</v>
      </c>
      <c r="D24" s="233" t="s">
        <v>447</v>
      </c>
      <c r="E24" s="128" t="s">
        <v>452</v>
      </c>
      <c r="F24" s="128">
        <v>423821</v>
      </c>
      <c r="G24" s="234" t="s">
        <v>684</v>
      </c>
      <c r="H24" s="238" t="s">
        <v>693</v>
      </c>
      <c r="I24" s="128" t="s">
        <v>818</v>
      </c>
      <c r="J24" s="128">
        <v>2017</v>
      </c>
      <c r="K24" s="163">
        <v>42816</v>
      </c>
      <c r="L24" s="163">
        <v>42856</v>
      </c>
      <c r="M24" s="164" t="s">
        <v>762</v>
      </c>
      <c r="N24" s="163"/>
      <c r="O24" s="163" t="s">
        <v>585</v>
      </c>
      <c r="P24" s="236">
        <v>10423</v>
      </c>
      <c r="Q24" s="241" t="s">
        <v>470</v>
      </c>
      <c r="R24" s="252">
        <v>18</v>
      </c>
      <c r="S24" s="252">
        <v>1</v>
      </c>
      <c r="T24" s="252" t="s">
        <v>453</v>
      </c>
      <c r="U24" s="252">
        <v>164</v>
      </c>
      <c r="V24" s="252">
        <f t="shared" si="0"/>
        <v>164</v>
      </c>
      <c r="W24" s="252">
        <v>66</v>
      </c>
      <c r="X24" s="252">
        <v>48</v>
      </c>
      <c r="Y24" s="252">
        <v>50</v>
      </c>
      <c r="Z24" s="278"/>
      <c r="AA24" s="278"/>
      <c r="AB24" s="253">
        <v>243</v>
      </c>
      <c r="AC24" s="254">
        <f t="shared" si="1"/>
        <v>8795.6</v>
      </c>
      <c r="AD24" s="255">
        <v>8129.1</v>
      </c>
      <c r="AE24" s="255">
        <f t="shared" si="4"/>
        <v>666.5</v>
      </c>
      <c r="AF24" s="256">
        <v>317.2</v>
      </c>
      <c r="AG24" s="256">
        <v>349.3</v>
      </c>
      <c r="AH24" s="257">
        <v>4404.5</v>
      </c>
      <c r="AI24" s="258">
        <v>3724.8</v>
      </c>
      <c r="AJ24" s="258">
        <v>464.8</v>
      </c>
      <c r="AK24" s="258" t="e">
        <f>#REF!</f>
        <v>#REF!</v>
      </c>
      <c r="AL24" s="259">
        <v>12212.6</v>
      </c>
      <c r="AM24" s="259">
        <v>11747.800000000001</v>
      </c>
      <c r="AN24" s="260">
        <v>878.6</v>
      </c>
      <c r="AO24" s="260">
        <v>5051.3999999999996</v>
      </c>
      <c r="AP24" s="261">
        <v>673</v>
      </c>
      <c r="AQ24" s="261">
        <v>673</v>
      </c>
      <c r="AR24" s="261">
        <v>632.79999999999995</v>
      </c>
      <c r="AS24" s="261">
        <v>615.20000000000005</v>
      </c>
      <c r="AT24" s="261">
        <v>5217.2</v>
      </c>
      <c r="AU24" s="261">
        <v>562.29999999999995</v>
      </c>
      <c r="AV24" s="261">
        <v>680</v>
      </c>
      <c r="AW24" s="261">
        <v>670</v>
      </c>
      <c r="AX24" s="261">
        <v>528</v>
      </c>
      <c r="AY24" s="261">
        <v>682</v>
      </c>
      <c r="AZ24" s="261">
        <v>1600</v>
      </c>
      <c r="BA24" s="262">
        <v>45</v>
      </c>
      <c r="BB24" s="263">
        <f t="shared" si="3"/>
        <v>0.03</v>
      </c>
      <c r="BC24" s="259">
        <v>125</v>
      </c>
      <c r="BD24" s="264" t="s">
        <v>41</v>
      </c>
      <c r="BE24" s="264" t="s">
        <v>33</v>
      </c>
      <c r="BF24" s="264" t="s">
        <v>34</v>
      </c>
      <c r="BG24" s="265" t="s">
        <v>10</v>
      </c>
      <c r="BH24" s="265" t="s">
        <v>12</v>
      </c>
      <c r="BI24" s="265" t="s">
        <v>82</v>
      </c>
      <c r="BJ24" s="265">
        <v>2</v>
      </c>
      <c r="BK24" s="264">
        <v>2017</v>
      </c>
      <c r="BL24" s="266">
        <v>1</v>
      </c>
      <c r="BM24" s="266">
        <v>1</v>
      </c>
      <c r="BN24" s="266">
        <v>1</v>
      </c>
      <c r="BO24" s="266">
        <v>3</v>
      </c>
      <c r="BP24" s="266" t="s">
        <v>58</v>
      </c>
      <c r="BQ24" s="267">
        <v>1</v>
      </c>
      <c r="BR24" s="267">
        <v>1</v>
      </c>
      <c r="BS24" s="267">
        <v>1</v>
      </c>
      <c r="BT24" s="267">
        <v>1</v>
      </c>
      <c r="BU24" s="266" t="s">
        <v>58</v>
      </c>
      <c r="BV24" s="274" t="s">
        <v>499</v>
      </c>
      <c r="BW24" s="274" t="s">
        <v>498</v>
      </c>
      <c r="BX24" s="274" t="s">
        <v>497</v>
      </c>
      <c r="BY24" s="274" t="s">
        <v>496</v>
      </c>
      <c r="BZ24" s="274" t="s">
        <v>495</v>
      </c>
      <c r="CA24" s="274" t="s">
        <v>86</v>
      </c>
      <c r="CB24" s="274" t="s">
        <v>86</v>
      </c>
      <c r="CC24" s="274" t="s">
        <v>86</v>
      </c>
      <c r="CD24" s="274" t="s">
        <v>112</v>
      </c>
      <c r="CE24" s="274" t="s">
        <v>112</v>
      </c>
      <c r="CF24" s="274" t="s">
        <v>86</v>
      </c>
      <c r="CG24" s="274"/>
      <c r="CH24" s="274"/>
      <c r="CI24" s="279" t="s">
        <v>749</v>
      </c>
      <c r="CJ24" s="274"/>
      <c r="CK24" s="280">
        <v>207</v>
      </c>
      <c r="CL24" s="280">
        <v>306</v>
      </c>
      <c r="CM24" s="280">
        <v>13.5</v>
      </c>
      <c r="CN24" s="280"/>
      <c r="CO24" s="280">
        <v>57.2</v>
      </c>
      <c r="CP24" s="280">
        <v>1588.9</v>
      </c>
      <c r="CQ24" s="271" t="s">
        <v>772</v>
      </c>
    </row>
    <row r="25" spans="1:95" ht="47.15" customHeight="1" x14ac:dyDescent="0.35">
      <c r="A25" s="128">
        <v>22</v>
      </c>
      <c r="B25" s="250" t="s">
        <v>454</v>
      </c>
      <c r="C25" s="128" t="s">
        <v>459</v>
      </c>
      <c r="D25" s="233" t="s">
        <v>447</v>
      </c>
      <c r="E25" s="128" t="s">
        <v>46</v>
      </c>
      <c r="F25" s="128">
        <v>423821</v>
      </c>
      <c r="G25" s="234" t="s">
        <v>684</v>
      </c>
      <c r="H25" s="238" t="s">
        <v>693</v>
      </c>
      <c r="I25" s="128" t="s">
        <v>818</v>
      </c>
      <c r="J25" s="128">
        <v>2017</v>
      </c>
      <c r="K25" s="163">
        <v>43004</v>
      </c>
      <c r="L25" s="163">
        <v>43040</v>
      </c>
      <c r="M25" s="164" t="s">
        <v>762</v>
      </c>
      <c r="N25" s="163"/>
      <c r="O25" s="163" t="s">
        <v>585</v>
      </c>
      <c r="P25" s="236">
        <v>11024</v>
      </c>
      <c r="Q25" s="236" t="s">
        <v>469</v>
      </c>
      <c r="R25" s="252">
        <v>18</v>
      </c>
      <c r="S25" s="252">
        <v>1</v>
      </c>
      <c r="T25" s="252" t="s">
        <v>471</v>
      </c>
      <c r="U25" s="252">
        <v>142</v>
      </c>
      <c r="V25" s="252">
        <f t="shared" si="0"/>
        <v>142</v>
      </c>
      <c r="W25" s="252">
        <v>48</v>
      </c>
      <c r="X25" s="252">
        <v>30</v>
      </c>
      <c r="Y25" s="252">
        <v>62</v>
      </c>
      <c r="Z25" s="252">
        <v>2</v>
      </c>
      <c r="AA25" s="252"/>
      <c r="AB25" s="253">
        <v>233</v>
      </c>
      <c r="AC25" s="254">
        <f t="shared" si="1"/>
        <v>8894.6</v>
      </c>
      <c r="AD25" s="255">
        <v>7883.5</v>
      </c>
      <c r="AE25" s="255">
        <f t="shared" si="4"/>
        <v>1011.0999999999999</v>
      </c>
      <c r="AF25" s="256">
        <v>298.7</v>
      </c>
      <c r="AG25" s="256">
        <v>712.4</v>
      </c>
      <c r="AH25" s="257">
        <v>4815.8999999999996</v>
      </c>
      <c r="AI25" s="258">
        <v>3069.3</v>
      </c>
      <c r="AJ25" s="258">
        <v>523.79999999999995</v>
      </c>
      <c r="AK25" s="258" t="e">
        <f>#REF!</f>
        <v>#REF!</v>
      </c>
      <c r="AL25" s="259">
        <v>12062.5</v>
      </c>
      <c r="AM25" s="259">
        <v>11538.7</v>
      </c>
      <c r="AN25" s="260">
        <v>944.4</v>
      </c>
      <c r="AO25" s="260">
        <v>4351</v>
      </c>
      <c r="AP25" s="261">
        <v>761.1</v>
      </c>
      <c r="AQ25" s="261">
        <v>761.1</v>
      </c>
      <c r="AR25" s="261">
        <v>698</v>
      </c>
      <c r="AS25" s="261">
        <v>421.4</v>
      </c>
      <c r="AT25" s="261">
        <v>5220</v>
      </c>
      <c r="AU25" s="261">
        <v>849.9</v>
      </c>
      <c r="AV25" s="261">
        <v>420</v>
      </c>
      <c r="AW25" s="261">
        <v>568</v>
      </c>
      <c r="AX25" s="261">
        <v>498</v>
      </c>
      <c r="AY25" s="261">
        <v>514</v>
      </c>
      <c r="AZ25" s="261">
        <v>1580</v>
      </c>
      <c r="BA25" s="262">
        <v>39</v>
      </c>
      <c r="BB25" s="263">
        <f t="shared" si="3"/>
        <v>2.5999999999999999E-2</v>
      </c>
      <c r="BC25" s="259">
        <v>125</v>
      </c>
      <c r="BD25" s="264" t="s">
        <v>41</v>
      </c>
      <c r="BE25" s="264" t="s">
        <v>33</v>
      </c>
      <c r="BF25" s="264" t="s">
        <v>34</v>
      </c>
      <c r="BG25" s="265" t="s">
        <v>10</v>
      </c>
      <c r="BH25" s="265" t="s">
        <v>12</v>
      </c>
      <c r="BI25" s="265" t="s">
        <v>82</v>
      </c>
      <c r="BJ25" s="265">
        <v>2</v>
      </c>
      <c r="BK25" s="264">
        <v>2017</v>
      </c>
      <c r="BL25" s="266">
        <v>1</v>
      </c>
      <c r="BM25" s="266">
        <v>1</v>
      </c>
      <c r="BN25" s="266">
        <v>1</v>
      </c>
      <c r="BO25" s="266">
        <v>3</v>
      </c>
      <c r="BP25" s="266" t="s">
        <v>58</v>
      </c>
      <c r="BQ25" s="267">
        <v>1</v>
      </c>
      <c r="BR25" s="267">
        <v>1</v>
      </c>
      <c r="BS25" s="267">
        <v>1</v>
      </c>
      <c r="BT25" s="267">
        <v>1</v>
      </c>
      <c r="BU25" s="266" t="s">
        <v>58</v>
      </c>
      <c r="BV25" s="274" t="s">
        <v>494</v>
      </c>
      <c r="BW25" s="274" t="s">
        <v>493</v>
      </c>
      <c r="BX25" s="274" t="s">
        <v>492</v>
      </c>
      <c r="BY25" s="274" t="s">
        <v>491</v>
      </c>
      <c r="BZ25" s="274" t="s">
        <v>490</v>
      </c>
      <c r="CA25" s="274"/>
      <c r="CB25" s="274"/>
      <c r="CC25" s="274" t="s">
        <v>86</v>
      </c>
      <c r="CD25" s="274" t="s">
        <v>112</v>
      </c>
      <c r="CE25" s="274" t="s">
        <v>86</v>
      </c>
      <c r="CF25" s="274" t="s">
        <v>86</v>
      </c>
      <c r="CG25" s="274"/>
      <c r="CH25" s="274"/>
      <c r="CI25" s="279" t="s">
        <v>749</v>
      </c>
      <c r="CJ25" s="274"/>
      <c r="CK25" s="281">
        <v>222.4</v>
      </c>
      <c r="CL25" s="281">
        <v>308.8</v>
      </c>
      <c r="CM25" s="281">
        <v>8</v>
      </c>
      <c r="CN25" s="281"/>
      <c r="CO25" s="281">
        <v>4.2</v>
      </c>
      <c r="CP25" s="281">
        <v>1213.2</v>
      </c>
      <c r="CQ25" s="271" t="s">
        <v>772</v>
      </c>
    </row>
    <row r="26" spans="1:95" ht="52.3" customHeight="1" x14ac:dyDescent="0.35">
      <c r="A26" s="128">
        <v>23</v>
      </c>
      <c r="B26" s="250" t="s">
        <v>465</v>
      </c>
      <c r="C26" s="128" t="s">
        <v>459</v>
      </c>
      <c r="D26" s="233" t="s">
        <v>447</v>
      </c>
      <c r="E26" s="128" t="s">
        <v>456</v>
      </c>
      <c r="F26" s="128">
        <v>423821</v>
      </c>
      <c r="G26" s="234" t="s">
        <v>684</v>
      </c>
      <c r="H26" s="238" t="s">
        <v>693</v>
      </c>
      <c r="I26" s="128" t="s">
        <v>813</v>
      </c>
      <c r="J26" s="128">
        <v>2017</v>
      </c>
      <c r="K26" s="163">
        <v>43097</v>
      </c>
      <c r="L26" s="163">
        <v>43160</v>
      </c>
      <c r="M26" s="164" t="s">
        <v>762</v>
      </c>
      <c r="N26" s="163"/>
      <c r="O26" s="163" t="s">
        <v>586</v>
      </c>
      <c r="P26" s="236">
        <v>11120</v>
      </c>
      <c r="Q26" s="236" t="s">
        <v>472</v>
      </c>
      <c r="R26" s="252">
        <v>18</v>
      </c>
      <c r="S26" s="252">
        <v>1</v>
      </c>
      <c r="T26" s="252" t="s">
        <v>473</v>
      </c>
      <c r="U26" s="252">
        <v>192</v>
      </c>
      <c r="V26" s="252">
        <f t="shared" si="0"/>
        <v>192</v>
      </c>
      <c r="W26" s="252">
        <v>96</v>
      </c>
      <c r="X26" s="252">
        <v>80</v>
      </c>
      <c r="Y26" s="252">
        <v>16</v>
      </c>
      <c r="Z26" s="278"/>
      <c r="AA26" s="278"/>
      <c r="AB26" s="253">
        <v>212</v>
      </c>
      <c r="AC26" s="254">
        <f t="shared" si="1"/>
        <v>8259.5</v>
      </c>
      <c r="AD26" s="255">
        <v>7393.3</v>
      </c>
      <c r="AE26" s="255">
        <f t="shared" si="4"/>
        <v>866.2</v>
      </c>
      <c r="AF26" s="256">
        <v>235.7</v>
      </c>
      <c r="AG26" s="256">
        <v>630.5</v>
      </c>
      <c r="AH26" s="257">
        <v>4045.3</v>
      </c>
      <c r="AI26" s="258">
        <v>3347.5</v>
      </c>
      <c r="AJ26" s="258">
        <v>613.6</v>
      </c>
      <c r="AK26" s="258" t="e">
        <f>#REF!</f>
        <v>#REF!</v>
      </c>
      <c r="AL26" s="259">
        <v>11964.2</v>
      </c>
      <c r="AM26" s="259">
        <v>11350.6</v>
      </c>
      <c r="AN26" s="260">
        <v>865.3</v>
      </c>
      <c r="AO26" s="260">
        <v>1910</v>
      </c>
      <c r="AP26" s="261">
        <v>688</v>
      </c>
      <c r="AQ26" s="261">
        <v>688</v>
      </c>
      <c r="AR26" s="261">
        <v>647.5</v>
      </c>
      <c r="AS26" s="261">
        <v>625.9</v>
      </c>
      <c r="AT26" s="261">
        <v>5025</v>
      </c>
      <c r="AU26" s="261">
        <v>728</v>
      </c>
      <c r="AV26" s="261">
        <v>598</v>
      </c>
      <c r="AW26" s="261">
        <v>690</v>
      </c>
      <c r="AX26" s="261">
        <v>912</v>
      </c>
      <c r="AY26" s="261">
        <v>620</v>
      </c>
      <c r="AZ26" s="261">
        <v>1110</v>
      </c>
      <c r="BA26" s="262">
        <v>36</v>
      </c>
      <c r="BB26" s="263">
        <f t="shared" si="3"/>
        <v>2.3999999999999997E-2</v>
      </c>
      <c r="BC26" s="259">
        <v>125</v>
      </c>
      <c r="BD26" s="264" t="s">
        <v>41</v>
      </c>
      <c r="BE26" s="264" t="s">
        <v>33</v>
      </c>
      <c r="BF26" s="264" t="s">
        <v>34</v>
      </c>
      <c r="BG26" s="265" t="s">
        <v>10</v>
      </c>
      <c r="BH26" s="265" t="s">
        <v>12</v>
      </c>
      <c r="BI26" s="265" t="s">
        <v>82</v>
      </c>
      <c r="BJ26" s="265">
        <v>2</v>
      </c>
      <c r="BK26" s="264">
        <v>2017</v>
      </c>
      <c r="BL26" s="266">
        <v>1</v>
      </c>
      <c r="BM26" s="266">
        <v>1</v>
      </c>
      <c r="BN26" s="266">
        <v>1</v>
      </c>
      <c r="BO26" s="266">
        <v>3</v>
      </c>
      <c r="BP26" s="266" t="s">
        <v>58</v>
      </c>
      <c r="BQ26" s="267">
        <v>1</v>
      </c>
      <c r="BR26" s="267">
        <v>1</v>
      </c>
      <c r="BS26" s="267">
        <v>1</v>
      </c>
      <c r="BT26" s="267">
        <v>1</v>
      </c>
      <c r="BU26" s="266" t="s">
        <v>58</v>
      </c>
      <c r="BV26" s="274" t="s">
        <v>489</v>
      </c>
      <c r="BW26" s="274" t="s">
        <v>488</v>
      </c>
      <c r="BX26" s="274" t="s">
        <v>487</v>
      </c>
      <c r="BY26" s="274" t="s">
        <v>486</v>
      </c>
      <c r="BZ26" s="274" t="s">
        <v>485</v>
      </c>
      <c r="CA26" s="274"/>
      <c r="CB26" s="274"/>
      <c r="CC26" s="274"/>
      <c r="CD26" s="274" t="s">
        <v>478</v>
      </c>
      <c r="CE26" s="274" t="s">
        <v>476</v>
      </c>
      <c r="CF26" s="274" t="s">
        <v>86</v>
      </c>
      <c r="CG26" s="274" t="s">
        <v>477</v>
      </c>
      <c r="CH26" s="274"/>
      <c r="CI26" s="274"/>
      <c r="CJ26" s="274"/>
      <c r="CK26" s="281">
        <v>209</v>
      </c>
      <c r="CL26" s="281">
        <v>261</v>
      </c>
      <c r="CM26" s="281">
        <v>11.9</v>
      </c>
      <c r="CN26" s="281"/>
      <c r="CO26" s="281">
        <v>4.4000000000000004</v>
      </c>
      <c r="CP26" s="281">
        <v>1542.8</v>
      </c>
      <c r="CQ26" s="271" t="s">
        <v>772</v>
      </c>
    </row>
    <row r="27" spans="1:95" ht="50.1" customHeight="1" x14ac:dyDescent="0.35">
      <c r="A27" s="128">
        <v>24</v>
      </c>
      <c r="B27" s="250" t="s">
        <v>457</v>
      </c>
      <c r="C27" s="128" t="s">
        <v>459</v>
      </c>
      <c r="D27" s="233" t="s">
        <v>425</v>
      </c>
      <c r="E27" s="128">
        <v>13</v>
      </c>
      <c r="F27" s="128">
        <v>423827</v>
      </c>
      <c r="G27" s="234" t="s">
        <v>685</v>
      </c>
      <c r="H27" s="238" t="s">
        <v>692</v>
      </c>
      <c r="I27" s="128" t="s">
        <v>816</v>
      </c>
      <c r="J27" s="128">
        <v>2018</v>
      </c>
      <c r="K27" s="163">
        <v>43157</v>
      </c>
      <c r="L27" s="163">
        <v>43160</v>
      </c>
      <c r="M27" s="164" t="s">
        <v>762</v>
      </c>
      <c r="N27" s="163"/>
      <c r="O27" s="163" t="s">
        <v>581</v>
      </c>
      <c r="P27" s="236">
        <v>10539</v>
      </c>
      <c r="Q27" s="236" t="s">
        <v>474</v>
      </c>
      <c r="R27" s="252">
        <v>16</v>
      </c>
      <c r="S27" s="252">
        <v>1</v>
      </c>
      <c r="T27" s="252" t="s">
        <v>667</v>
      </c>
      <c r="U27" s="252">
        <v>155</v>
      </c>
      <c r="V27" s="252">
        <f t="shared" si="0"/>
        <v>155</v>
      </c>
      <c r="W27" s="252">
        <v>63</v>
      </c>
      <c r="X27" s="252">
        <v>92</v>
      </c>
      <c r="Y27" s="278"/>
      <c r="Z27" s="278"/>
      <c r="AA27" s="278"/>
      <c r="AB27" s="253">
        <v>228</v>
      </c>
      <c r="AC27" s="254">
        <f t="shared" si="1"/>
        <v>6918.9000000000005</v>
      </c>
      <c r="AD27" s="255">
        <v>6725.8</v>
      </c>
      <c r="AE27" s="255">
        <f t="shared" si="4"/>
        <v>193.1</v>
      </c>
      <c r="AF27" s="256"/>
      <c r="AG27" s="256">
        <v>193.1</v>
      </c>
      <c r="AH27" s="257">
        <v>3538.4</v>
      </c>
      <c r="AI27" s="258">
        <v>3187.4</v>
      </c>
      <c r="AJ27" s="258">
        <v>731.3</v>
      </c>
      <c r="AK27" s="258" t="e">
        <f>#REF!</f>
        <v>#REF!</v>
      </c>
      <c r="AL27" s="259">
        <v>10136.800000000001</v>
      </c>
      <c r="AM27" s="259">
        <v>9405.5</v>
      </c>
      <c r="AN27" s="260">
        <v>796</v>
      </c>
      <c r="AO27" s="260">
        <v>4587</v>
      </c>
      <c r="AP27" s="261">
        <v>728.5</v>
      </c>
      <c r="AQ27" s="261">
        <v>728.5</v>
      </c>
      <c r="AR27" s="261">
        <v>641.5</v>
      </c>
      <c r="AS27" s="261">
        <v>651.4</v>
      </c>
      <c r="AT27" s="261">
        <v>5420</v>
      </c>
      <c r="AU27" s="261">
        <v>792.1</v>
      </c>
      <c r="AV27" s="261">
        <v>1820</v>
      </c>
      <c r="AW27" s="261">
        <v>2280</v>
      </c>
      <c r="AX27" s="261">
        <v>3418</v>
      </c>
      <c r="AY27" s="261">
        <v>2240</v>
      </c>
      <c r="AZ27" s="261">
        <v>8206</v>
      </c>
      <c r="BA27" s="262">
        <v>34</v>
      </c>
      <c r="BB27" s="263">
        <f t="shared" si="3"/>
        <v>2.2666666666666668E-2</v>
      </c>
      <c r="BC27" s="259">
        <v>125</v>
      </c>
      <c r="BD27" s="264" t="s">
        <v>41</v>
      </c>
      <c r="BE27" s="264" t="s">
        <v>33</v>
      </c>
      <c r="BF27" s="264" t="s">
        <v>34</v>
      </c>
      <c r="BG27" s="265" t="s">
        <v>10</v>
      </c>
      <c r="BH27" s="265" t="s">
        <v>12</v>
      </c>
      <c r="BI27" s="265" t="s">
        <v>82</v>
      </c>
      <c r="BJ27" s="265">
        <v>2</v>
      </c>
      <c r="BK27" s="264">
        <v>2017</v>
      </c>
      <c r="BL27" s="266">
        <v>1</v>
      </c>
      <c r="BM27" s="266">
        <v>1</v>
      </c>
      <c r="BN27" s="266">
        <v>1</v>
      </c>
      <c r="BO27" s="266">
        <v>3</v>
      </c>
      <c r="BP27" s="266" t="s">
        <v>58</v>
      </c>
      <c r="BQ27" s="267">
        <v>1</v>
      </c>
      <c r="BR27" s="267">
        <v>1</v>
      </c>
      <c r="BS27" s="267">
        <v>1</v>
      </c>
      <c r="BT27" s="267">
        <v>1</v>
      </c>
      <c r="BU27" s="266" t="s">
        <v>58</v>
      </c>
      <c r="BV27" s="274" t="s">
        <v>484</v>
      </c>
      <c r="BW27" s="274" t="s">
        <v>483</v>
      </c>
      <c r="BX27" s="274" t="s">
        <v>482</v>
      </c>
      <c r="BY27" s="274" t="s">
        <v>481</v>
      </c>
      <c r="BZ27" s="274" t="s">
        <v>480</v>
      </c>
      <c r="CA27" s="274" t="s">
        <v>86</v>
      </c>
      <c r="CB27" s="274" t="s">
        <v>86</v>
      </c>
      <c r="CC27" s="274" t="s">
        <v>86</v>
      </c>
      <c r="CD27" s="274" t="s">
        <v>475</v>
      </c>
      <c r="CE27" s="274" t="s">
        <v>475</v>
      </c>
      <c r="CF27" s="274" t="s">
        <v>86</v>
      </c>
      <c r="CG27" s="274"/>
      <c r="CH27" s="274"/>
      <c r="CI27" s="274"/>
      <c r="CJ27" s="274"/>
      <c r="CK27" s="281">
        <v>228.9</v>
      </c>
      <c r="CL27" s="281">
        <v>283.60000000000002</v>
      </c>
      <c r="CM27" s="281">
        <v>6.4</v>
      </c>
      <c r="CN27" s="281"/>
      <c r="CO27" s="281">
        <v>4.8</v>
      </c>
      <c r="CP27" s="281">
        <v>915.9</v>
      </c>
      <c r="CQ27" s="271" t="s">
        <v>772</v>
      </c>
    </row>
    <row r="28" spans="1:95" ht="47.15" customHeight="1" x14ac:dyDescent="0.35">
      <c r="A28" s="128">
        <v>25</v>
      </c>
      <c r="B28" s="250" t="s">
        <v>466</v>
      </c>
      <c r="C28" s="128" t="s">
        <v>459</v>
      </c>
      <c r="D28" s="233" t="s">
        <v>425</v>
      </c>
      <c r="E28" s="128">
        <v>15</v>
      </c>
      <c r="F28" s="128">
        <v>423827</v>
      </c>
      <c r="G28" s="234" t="s">
        <v>685</v>
      </c>
      <c r="H28" s="238" t="s">
        <v>692</v>
      </c>
      <c r="I28" s="128" t="s">
        <v>816</v>
      </c>
      <c r="J28" s="128">
        <v>2018</v>
      </c>
      <c r="K28" s="163">
        <v>43217</v>
      </c>
      <c r="L28" s="163">
        <v>43252</v>
      </c>
      <c r="M28" s="164" t="s">
        <v>761</v>
      </c>
      <c r="N28" s="163">
        <v>43315</v>
      </c>
      <c r="O28" s="163" t="s">
        <v>581</v>
      </c>
      <c r="P28" s="241" t="s">
        <v>467</v>
      </c>
      <c r="Q28" s="236" t="s">
        <v>558</v>
      </c>
      <c r="R28" s="252">
        <v>10</v>
      </c>
      <c r="S28" s="252">
        <v>4</v>
      </c>
      <c r="T28" s="252" t="s">
        <v>479</v>
      </c>
      <c r="U28" s="252">
        <v>360</v>
      </c>
      <c r="V28" s="252">
        <f t="shared" si="0"/>
        <v>360</v>
      </c>
      <c r="W28" s="252">
        <v>180</v>
      </c>
      <c r="X28" s="252">
        <v>162</v>
      </c>
      <c r="Y28" s="252">
        <v>18</v>
      </c>
      <c r="Z28" s="252"/>
      <c r="AA28" s="252"/>
      <c r="AB28" s="253">
        <v>491</v>
      </c>
      <c r="AC28" s="254">
        <f t="shared" si="1"/>
        <v>13550.8</v>
      </c>
      <c r="AD28" s="255">
        <v>12033.8</v>
      </c>
      <c r="AE28" s="255">
        <f t="shared" si="4"/>
        <v>1517</v>
      </c>
      <c r="AF28" s="256"/>
      <c r="AG28" s="256">
        <v>1517</v>
      </c>
      <c r="AH28" s="257">
        <v>6797.1</v>
      </c>
      <c r="AI28" s="258">
        <v>5236.7</v>
      </c>
      <c r="AJ28" s="258">
        <v>1147.4000000000001</v>
      </c>
      <c r="AK28" s="258" t="e">
        <f>#REF!</f>
        <v>#REF!</v>
      </c>
      <c r="AL28" s="259">
        <v>20864.099999999999</v>
      </c>
      <c r="AM28" s="259">
        <v>19716.699999999997</v>
      </c>
      <c r="AN28" s="259">
        <v>2479.9</v>
      </c>
      <c r="AO28" s="259">
        <v>6379</v>
      </c>
      <c r="AP28" s="261">
        <v>1593</v>
      </c>
      <c r="AQ28" s="261">
        <v>1593</v>
      </c>
      <c r="AR28" s="261">
        <v>1775.1</v>
      </c>
      <c r="AS28" s="261">
        <v>1668.2</v>
      </c>
      <c r="AT28" s="261">
        <v>7776</v>
      </c>
      <c r="AU28" s="282">
        <v>826</v>
      </c>
      <c r="AV28" s="282">
        <v>1820</v>
      </c>
      <c r="AW28" s="282">
        <v>582</v>
      </c>
      <c r="AX28" s="283">
        <v>820</v>
      </c>
      <c r="AY28" s="283">
        <v>568</v>
      </c>
      <c r="AZ28" s="283">
        <v>1592</v>
      </c>
      <c r="BA28" s="262">
        <v>32</v>
      </c>
      <c r="BB28" s="263">
        <f t="shared" si="3"/>
        <v>2.1333333333333333E-2</v>
      </c>
      <c r="BC28" s="259">
        <v>125</v>
      </c>
      <c r="BD28" s="264" t="s">
        <v>41</v>
      </c>
      <c r="BE28" s="264" t="s">
        <v>33</v>
      </c>
      <c r="BF28" s="264" t="s">
        <v>34</v>
      </c>
      <c r="BG28" s="265" t="s">
        <v>10</v>
      </c>
      <c r="BH28" s="265" t="s">
        <v>12</v>
      </c>
      <c r="BI28" s="284" t="s">
        <v>58</v>
      </c>
      <c r="BJ28" s="265">
        <v>8</v>
      </c>
      <c r="BK28" s="264">
        <v>2018</v>
      </c>
      <c r="BL28" s="266">
        <v>1</v>
      </c>
      <c r="BM28" s="274" t="s">
        <v>112</v>
      </c>
      <c r="BN28" s="274" t="s">
        <v>112</v>
      </c>
      <c r="BO28" s="274" t="s">
        <v>475</v>
      </c>
      <c r="BP28" s="266" t="s">
        <v>58</v>
      </c>
      <c r="BQ28" s="267">
        <v>1</v>
      </c>
      <c r="BR28" s="267">
        <v>1</v>
      </c>
      <c r="BS28" s="267">
        <v>1</v>
      </c>
      <c r="BT28" s="267">
        <v>1</v>
      </c>
      <c r="BU28" s="266" t="s">
        <v>58</v>
      </c>
      <c r="BV28" s="274" t="s">
        <v>555</v>
      </c>
      <c r="BW28" s="274" t="s">
        <v>554</v>
      </c>
      <c r="BX28" s="264">
        <v>439.35</v>
      </c>
      <c r="BY28" s="274" t="s">
        <v>556</v>
      </c>
      <c r="BZ28" s="274" t="s">
        <v>557</v>
      </c>
      <c r="CA28" s="274"/>
      <c r="CB28" s="285"/>
      <c r="CC28" s="285"/>
      <c r="CD28" s="274" t="s">
        <v>559</v>
      </c>
      <c r="CE28" s="274" t="s">
        <v>560</v>
      </c>
      <c r="CF28" s="274" t="s">
        <v>86</v>
      </c>
      <c r="CG28" s="311"/>
      <c r="CH28" s="285"/>
      <c r="CI28" s="285"/>
      <c r="CJ28" s="285"/>
      <c r="CK28" s="281"/>
      <c r="CL28" s="281">
        <v>648.29999999999995</v>
      </c>
      <c r="CM28" s="281">
        <v>60.8</v>
      </c>
      <c r="CN28" s="281"/>
      <c r="CO28" s="281">
        <v>43.2</v>
      </c>
      <c r="CP28" s="281">
        <v>1858.4</v>
      </c>
      <c r="CQ28" s="271" t="s">
        <v>670</v>
      </c>
    </row>
    <row r="29" spans="1:95" ht="53.7" customHeight="1" x14ac:dyDescent="0.35">
      <c r="A29" s="128">
        <v>26</v>
      </c>
      <c r="B29" s="250" t="s">
        <v>562</v>
      </c>
      <c r="C29" s="128" t="s">
        <v>64</v>
      </c>
      <c r="D29" s="233" t="s">
        <v>39</v>
      </c>
      <c r="E29" s="128">
        <v>48</v>
      </c>
      <c r="F29" s="128">
        <v>423832</v>
      </c>
      <c r="G29" s="234" t="s">
        <v>690</v>
      </c>
      <c r="H29" s="238" t="s">
        <v>694</v>
      </c>
      <c r="I29" s="128" t="s">
        <v>814</v>
      </c>
      <c r="J29" s="128">
        <v>2018</v>
      </c>
      <c r="K29" s="163">
        <v>43427</v>
      </c>
      <c r="L29" s="163">
        <v>43466</v>
      </c>
      <c r="M29" s="164" t="s">
        <v>761</v>
      </c>
      <c r="N29" s="163">
        <v>43525</v>
      </c>
      <c r="O29" s="163" t="s">
        <v>587</v>
      </c>
      <c r="P29" s="236">
        <v>11361</v>
      </c>
      <c r="Q29" s="236" t="s">
        <v>568</v>
      </c>
      <c r="R29" s="252">
        <v>17</v>
      </c>
      <c r="S29" s="252">
        <v>1</v>
      </c>
      <c r="T29" s="252" t="s">
        <v>564</v>
      </c>
      <c r="U29" s="252">
        <v>160</v>
      </c>
      <c r="V29" s="252">
        <f t="shared" si="0"/>
        <v>160</v>
      </c>
      <c r="W29" s="252">
        <v>32</v>
      </c>
      <c r="X29" s="252">
        <v>96</v>
      </c>
      <c r="Y29" s="252">
        <v>31</v>
      </c>
      <c r="Z29" s="252">
        <v>1</v>
      </c>
      <c r="AA29" s="252"/>
      <c r="AB29" s="253">
        <v>217</v>
      </c>
      <c r="AC29" s="254">
        <f t="shared" si="1"/>
        <v>9679.2000000000007</v>
      </c>
      <c r="AD29" s="255">
        <v>8176.2</v>
      </c>
      <c r="AE29" s="255">
        <f t="shared" si="4"/>
        <v>1503</v>
      </c>
      <c r="AF29" s="256">
        <v>325.39999999999998</v>
      </c>
      <c r="AG29" s="256">
        <f>702.9+174.4+56.3+123.7+120.3</f>
        <v>1177.5999999999999</v>
      </c>
      <c r="AH29" s="257">
        <v>5052.1000000000004</v>
      </c>
      <c r="AI29" s="258">
        <v>3124.0999999999995</v>
      </c>
      <c r="AJ29" s="258">
        <v>220.5</v>
      </c>
      <c r="AK29" s="258" t="e">
        <f>#REF!</f>
        <v>#REF!</v>
      </c>
      <c r="AL29" s="259">
        <v>13112.6</v>
      </c>
      <c r="AM29" s="259">
        <v>12892.1</v>
      </c>
      <c r="AN29" s="259">
        <v>1442.9</v>
      </c>
      <c r="AO29" s="259">
        <v>10490</v>
      </c>
      <c r="AP29" s="261">
        <v>771.6</v>
      </c>
      <c r="AQ29" s="261">
        <v>771.62</v>
      </c>
      <c r="AR29" s="261">
        <v>638.5</v>
      </c>
      <c r="AS29" s="261">
        <v>695.2</v>
      </c>
      <c r="AT29" s="261">
        <v>5220</v>
      </c>
      <c r="AU29" s="282">
        <v>725</v>
      </c>
      <c r="AV29" s="282">
        <v>1020</v>
      </c>
      <c r="AW29" s="282">
        <v>725</v>
      </c>
      <c r="AX29" s="283">
        <v>1200</v>
      </c>
      <c r="AY29" s="283">
        <v>780</v>
      </c>
      <c r="AZ29" s="283">
        <v>1120</v>
      </c>
      <c r="BA29" s="262">
        <v>25</v>
      </c>
      <c r="BB29" s="263">
        <f t="shared" si="3"/>
        <v>1.6666666666666666E-2</v>
      </c>
      <c r="BC29" s="259">
        <v>125</v>
      </c>
      <c r="BD29" s="264" t="s">
        <v>41</v>
      </c>
      <c r="BE29" s="264" t="s">
        <v>33</v>
      </c>
      <c r="BF29" s="264" t="s">
        <v>34</v>
      </c>
      <c r="BG29" s="265" t="s">
        <v>10</v>
      </c>
      <c r="BH29" s="265" t="s">
        <v>12</v>
      </c>
      <c r="BI29" s="284" t="s">
        <v>82</v>
      </c>
      <c r="BJ29" s="265">
        <v>2</v>
      </c>
      <c r="BK29" s="264">
        <v>2018</v>
      </c>
      <c r="BL29" s="266">
        <v>1</v>
      </c>
      <c r="BM29" s="274" t="s">
        <v>112</v>
      </c>
      <c r="BN29" s="274" t="s">
        <v>112</v>
      </c>
      <c r="BO29" s="274" t="s">
        <v>478</v>
      </c>
      <c r="BP29" s="266" t="s">
        <v>58</v>
      </c>
      <c r="BQ29" s="267">
        <v>1</v>
      </c>
      <c r="BR29" s="267">
        <v>1</v>
      </c>
      <c r="BS29" s="267">
        <v>1</v>
      </c>
      <c r="BT29" s="267">
        <v>1</v>
      </c>
      <c r="BU29" s="266" t="s">
        <v>58</v>
      </c>
      <c r="BV29" s="274" t="s">
        <v>565</v>
      </c>
      <c r="BW29" s="286" t="s">
        <v>655</v>
      </c>
      <c r="BX29" s="274" t="s">
        <v>571</v>
      </c>
      <c r="BY29" s="274" t="s">
        <v>566</v>
      </c>
      <c r="BZ29" s="274" t="s">
        <v>567</v>
      </c>
      <c r="CA29" s="274" t="s">
        <v>86</v>
      </c>
      <c r="CB29" s="285">
        <v>0</v>
      </c>
      <c r="CC29" s="285">
        <v>0</v>
      </c>
      <c r="CD29" s="274" t="s">
        <v>475</v>
      </c>
      <c r="CE29" s="274" t="s">
        <v>572</v>
      </c>
      <c r="CF29" s="274" t="s">
        <v>86</v>
      </c>
      <c r="CG29" s="311"/>
      <c r="CH29" s="285"/>
      <c r="CI29" s="285"/>
      <c r="CJ29" s="285"/>
      <c r="CK29" s="281">
        <v>205.2</v>
      </c>
      <c r="CL29" s="281">
        <v>259</v>
      </c>
      <c r="CM29" s="281">
        <v>25.4</v>
      </c>
      <c r="CN29" s="281"/>
      <c r="CO29" s="281">
        <v>4.4000000000000004</v>
      </c>
      <c r="CP29" s="281">
        <v>1561.6</v>
      </c>
      <c r="CQ29" s="271" t="s">
        <v>772</v>
      </c>
    </row>
    <row r="30" spans="1:95" ht="61.4" customHeight="1" x14ac:dyDescent="0.35">
      <c r="A30" s="128">
        <v>27</v>
      </c>
      <c r="B30" s="250" t="s">
        <v>563</v>
      </c>
      <c r="C30" s="128" t="s">
        <v>459</v>
      </c>
      <c r="D30" s="233" t="s">
        <v>424</v>
      </c>
      <c r="E30" s="128">
        <v>3</v>
      </c>
      <c r="F30" s="128">
        <v>423827</v>
      </c>
      <c r="G30" s="234" t="s">
        <v>685</v>
      </c>
      <c r="H30" s="238" t="s">
        <v>692</v>
      </c>
      <c r="I30" s="128" t="s">
        <v>817</v>
      </c>
      <c r="J30" s="128">
        <v>2018</v>
      </c>
      <c r="K30" s="163">
        <v>43459</v>
      </c>
      <c r="L30" s="163">
        <v>43466</v>
      </c>
      <c r="M30" s="164" t="s">
        <v>761</v>
      </c>
      <c r="N30" s="163">
        <v>43586</v>
      </c>
      <c r="O30" s="163" t="s">
        <v>588</v>
      </c>
      <c r="P30" s="241" t="s">
        <v>467</v>
      </c>
      <c r="Q30" s="241" t="s">
        <v>746</v>
      </c>
      <c r="R30" s="252">
        <v>17</v>
      </c>
      <c r="S30" s="252">
        <v>1</v>
      </c>
      <c r="T30" s="252" t="s">
        <v>668</v>
      </c>
      <c r="U30" s="252">
        <v>208</v>
      </c>
      <c r="V30" s="252">
        <f t="shared" si="0"/>
        <v>208</v>
      </c>
      <c r="W30" s="252">
        <v>128</v>
      </c>
      <c r="X30" s="252">
        <v>64</v>
      </c>
      <c r="Y30" s="252">
        <v>16</v>
      </c>
      <c r="Z30" s="252"/>
      <c r="AA30" s="252"/>
      <c r="AB30" s="253">
        <v>245</v>
      </c>
      <c r="AC30" s="254">
        <f t="shared" si="1"/>
        <v>8160.7999999999993</v>
      </c>
      <c r="AD30" s="255">
        <v>7304.9</v>
      </c>
      <c r="AE30" s="255">
        <f t="shared" si="4"/>
        <v>855.9</v>
      </c>
      <c r="AF30" s="256">
        <v>228.1</v>
      </c>
      <c r="AG30" s="256">
        <v>627.79999999999995</v>
      </c>
      <c r="AH30" s="257">
        <v>4238.7</v>
      </c>
      <c r="AI30" s="258">
        <v>3066.2</v>
      </c>
      <c r="AJ30" s="258">
        <v>635</v>
      </c>
      <c r="AK30" s="258" t="e">
        <f>#REF!</f>
        <v>#REF!</v>
      </c>
      <c r="AL30" s="259">
        <v>11886.8</v>
      </c>
      <c r="AM30" s="259">
        <v>11251.8</v>
      </c>
      <c r="AN30" s="260">
        <v>949.2</v>
      </c>
      <c r="AO30" s="260">
        <v>8936</v>
      </c>
      <c r="AP30" s="261">
        <v>726.2</v>
      </c>
      <c r="AQ30" s="261">
        <v>726.24</v>
      </c>
      <c r="AR30" s="261">
        <v>657</v>
      </c>
      <c r="AS30" s="261">
        <v>614.20000000000005</v>
      </c>
      <c r="AT30" s="261">
        <v>5030</v>
      </c>
      <c r="AU30" s="261">
        <v>730</v>
      </c>
      <c r="AV30" s="261">
        <v>1084</v>
      </c>
      <c r="AW30" s="261">
        <v>1235</v>
      </c>
      <c r="AX30" s="261">
        <v>1120</v>
      </c>
      <c r="AY30" s="261">
        <v>1325</v>
      </c>
      <c r="AZ30" s="261">
        <v>1324</v>
      </c>
      <c r="BA30" s="262">
        <v>24</v>
      </c>
      <c r="BB30" s="263">
        <f t="shared" si="3"/>
        <v>1.6E-2</v>
      </c>
      <c r="BC30" s="259">
        <v>125</v>
      </c>
      <c r="BD30" s="264" t="s">
        <v>569</v>
      </c>
      <c r="BE30" s="264" t="s">
        <v>33</v>
      </c>
      <c r="BF30" s="264" t="s">
        <v>34</v>
      </c>
      <c r="BG30" s="265" t="s">
        <v>10</v>
      </c>
      <c r="BH30" s="265" t="s">
        <v>12</v>
      </c>
      <c r="BI30" s="265" t="s">
        <v>82</v>
      </c>
      <c r="BJ30" s="265">
        <v>2</v>
      </c>
      <c r="BK30" s="264">
        <v>2018</v>
      </c>
      <c r="BL30" s="266">
        <v>1</v>
      </c>
      <c r="BM30" s="266">
        <v>1</v>
      </c>
      <c r="BN30" s="266">
        <v>1</v>
      </c>
      <c r="BO30" s="266">
        <v>3</v>
      </c>
      <c r="BP30" s="266" t="s">
        <v>58</v>
      </c>
      <c r="BQ30" s="267">
        <v>1</v>
      </c>
      <c r="BR30" s="267">
        <v>1</v>
      </c>
      <c r="BS30" s="267">
        <v>1</v>
      </c>
      <c r="BT30" s="267">
        <v>1</v>
      </c>
      <c r="BU30" s="266" t="s">
        <v>58</v>
      </c>
      <c r="BV30" s="274" t="s">
        <v>467</v>
      </c>
      <c r="BW30" s="286" t="s">
        <v>624</v>
      </c>
      <c r="BX30" s="274" t="s">
        <v>573</v>
      </c>
      <c r="BY30" s="274" t="s">
        <v>467</v>
      </c>
      <c r="BZ30" s="274" t="s">
        <v>467</v>
      </c>
      <c r="CA30" s="274" t="s">
        <v>86</v>
      </c>
      <c r="CB30" s="274" t="s">
        <v>86</v>
      </c>
      <c r="CC30" s="274" t="s">
        <v>86</v>
      </c>
      <c r="CD30" s="274" t="s">
        <v>358</v>
      </c>
      <c r="CE30" s="274" t="s">
        <v>358</v>
      </c>
      <c r="CF30" s="274" t="s">
        <v>86</v>
      </c>
      <c r="CG30" s="274"/>
      <c r="CH30" s="274"/>
      <c r="CI30" s="274"/>
      <c r="CJ30" s="274"/>
      <c r="CK30" s="281">
        <f>198</f>
        <v>198</v>
      </c>
      <c r="CL30" s="281">
        <f>CK30</f>
        <v>198</v>
      </c>
      <c r="CM30" s="281">
        <f>13.1+6.6</f>
        <v>19.7</v>
      </c>
      <c r="CN30" s="281"/>
      <c r="CO30" s="281">
        <v>4.2</v>
      </c>
      <c r="CP30" s="281">
        <v>1552.5</v>
      </c>
      <c r="CQ30" s="271" t="s">
        <v>772</v>
      </c>
    </row>
    <row r="31" spans="1:95" ht="63.1" customHeight="1" x14ac:dyDescent="0.35">
      <c r="A31" s="128">
        <v>28</v>
      </c>
      <c r="B31" s="250" t="s">
        <v>618</v>
      </c>
      <c r="C31" s="128" t="s">
        <v>459</v>
      </c>
      <c r="D31" s="233" t="s">
        <v>413</v>
      </c>
      <c r="E31" s="128">
        <v>14</v>
      </c>
      <c r="F31" s="128">
        <v>423827</v>
      </c>
      <c r="G31" s="234" t="s">
        <v>685</v>
      </c>
      <c r="H31" s="238" t="s">
        <v>692</v>
      </c>
      <c r="I31" s="128" t="s">
        <v>816</v>
      </c>
      <c r="J31" s="128">
        <v>2019</v>
      </c>
      <c r="K31" s="163">
        <v>43601</v>
      </c>
      <c r="L31" s="163">
        <v>43617</v>
      </c>
      <c r="M31" s="164" t="s">
        <v>761</v>
      </c>
      <c r="N31" s="163">
        <v>43678</v>
      </c>
      <c r="O31" s="163" t="s">
        <v>588</v>
      </c>
      <c r="P31" s="241">
        <v>10815</v>
      </c>
      <c r="Q31" s="241">
        <v>1652070307106</v>
      </c>
      <c r="R31" s="252">
        <v>19</v>
      </c>
      <c r="S31" s="252">
        <v>1</v>
      </c>
      <c r="T31" s="252" t="s">
        <v>619</v>
      </c>
      <c r="U31" s="252">
        <v>234</v>
      </c>
      <c r="V31" s="252">
        <f t="shared" si="0"/>
        <v>234</v>
      </c>
      <c r="W31" s="252">
        <v>144</v>
      </c>
      <c r="X31" s="252">
        <v>72</v>
      </c>
      <c r="Y31" s="252">
        <v>18</v>
      </c>
      <c r="Z31" s="252"/>
      <c r="AA31" s="252"/>
      <c r="AB31" s="253">
        <v>282</v>
      </c>
      <c r="AC31" s="254">
        <f t="shared" si="1"/>
        <v>8577.2999999999993</v>
      </c>
      <c r="AD31" s="255">
        <v>8327.5</v>
      </c>
      <c r="AE31" s="255">
        <f t="shared" si="4"/>
        <v>249.8</v>
      </c>
      <c r="AF31" s="256">
        <v>249.8</v>
      </c>
      <c r="AG31" s="256"/>
      <c r="AH31" s="257">
        <v>4800.3</v>
      </c>
      <c r="AI31" s="258">
        <v>3527.2</v>
      </c>
      <c r="AJ31" s="258">
        <v>670.3</v>
      </c>
      <c r="AK31" s="258" t="e">
        <f>#REF!</f>
        <v>#REF!</v>
      </c>
      <c r="AL31" s="259">
        <v>11901.099999999999</v>
      </c>
      <c r="AM31" s="259">
        <v>11230.8</v>
      </c>
      <c r="AN31" s="260">
        <v>854.4</v>
      </c>
      <c r="AO31" s="260">
        <v>2648.6</v>
      </c>
      <c r="AP31" s="261">
        <v>450.9</v>
      </c>
      <c r="AQ31" s="261">
        <v>450.9</v>
      </c>
      <c r="AR31" s="261">
        <v>653.6</v>
      </c>
      <c r="AS31" s="261">
        <v>626.9</v>
      </c>
      <c r="AT31" s="261">
        <v>5320</v>
      </c>
      <c r="AU31" s="261">
        <v>770</v>
      </c>
      <c r="AV31" s="261">
        <v>1040</v>
      </c>
      <c r="AW31" s="261">
        <v>1120</v>
      </c>
      <c r="AX31" s="261">
        <v>1210</v>
      </c>
      <c r="AY31" s="261">
        <v>1260</v>
      </c>
      <c r="AZ31" s="261">
        <v>1280</v>
      </c>
      <c r="BA31" s="262">
        <v>18</v>
      </c>
      <c r="BB31" s="263">
        <f t="shared" si="3"/>
        <v>1.1999999999999999E-2</v>
      </c>
      <c r="BC31" s="259">
        <v>125</v>
      </c>
      <c r="BD31" s="264" t="s">
        <v>620</v>
      </c>
      <c r="BE31" s="264" t="s">
        <v>33</v>
      </c>
      <c r="BF31" s="264" t="s">
        <v>34</v>
      </c>
      <c r="BG31" s="265" t="s">
        <v>10</v>
      </c>
      <c r="BH31" s="265" t="s">
        <v>12</v>
      </c>
      <c r="BI31" s="265" t="s">
        <v>82</v>
      </c>
      <c r="BJ31" s="265">
        <v>2</v>
      </c>
      <c r="BK31" s="264">
        <v>2019</v>
      </c>
      <c r="BL31" s="266">
        <v>1</v>
      </c>
      <c r="BM31" s="266">
        <v>1</v>
      </c>
      <c r="BN31" s="266">
        <v>1</v>
      </c>
      <c r="BO31" s="266">
        <v>3</v>
      </c>
      <c r="BP31" s="267" t="s">
        <v>58</v>
      </c>
      <c r="BQ31" s="267">
        <v>1</v>
      </c>
      <c r="BR31" s="267">
        <v>1</v>
      </c>
      <c r="BS31" s="267">
        <v>1</v>
      </c>
      <c r="BT31" s="267">
        <v>1</v>
      </c>
      <c r="BU31" s="266" t="s">
        <v>58</v>
      </c>
      <c r="BV31" s="274" t="s">
        <v>627</v>
      </c>
      <c r="BW31" s="274" t="s">
        <v>624</v>
      </c>
      <c r="BX31" s="274" t="s">
        <v>628</v>
      </c>
      <c r="BY31" s="274" t="s">
        <v>625</v>
      </c>
      <c r="BZ31" s="274" t="s">
        <v>626</v>
      </c>
      <c r="CA31" s="274" t="s">
        <v>86</v>
      </c>
      <c r="CB31" s="274" t="s">
        <v>86</v>
      </c>
      <c r="CC31" s="274" t="s">
        <v>86</v>
      </c>
      <c r="CD31" s="274" t="s">
        <v>629</v>
      </c>
      <c r="CE31" s="274" t="s">
        <v>475</v>
      </c>
      <c r="CF31" s="274" t="s">
        <v>86</v>
      </c>
      <c r="CG31" s="274"/>
      <c r="CH31" s="274"/>
      <c r="CI31" s="274"/>
      <c r="CJ31" s="274"/>
      <c r="CK31" s="287">
        <v>211.2</v>
      </c>
      <c r="CL31" s="281">
        <f>CK31</f>
        <v>211.2</v>
      </c>
      <c r="CM31" s="281">
        <f>7.2</f>
        <v>7.2</v>
      </c>
      <c r="CN31" s="281"/>
      <c r="CO31" s="281">
        <v>4.3</v>
      </c>
      <c r="CP31" s="281">
        <v>1679</v>
      </c>
      <c r="CQ31" s="271" t="s">
        <v>772</v>
      </c>
    </row>
    <row r="32" spans="1:95" ht="62.15" customHeight="1" x14ac:dyDescent="0.35">
      <c r="A32" s="128">
        <v>29</v>
      </c>
      <c r="B32" s="250" t="s">
        <v>638</v>
      </c>
      <c r="C32" s="128" t="s">
        <v>459</v>
      </c>
      <c r="D32" s="233" t="s">
        <v>640</v>
      </c>
      <c r="E32" s="128">
        <v>32</v>
      </c>
      <c r="F32" s="128">
        <v>423821</v>
      </c>
      <c r="G32" s="234" t="s">
        <v>684</v>
      </c>
      <c r="H32" s="238" t="s">
        <v>693</v>
      </c>
      <c r="I32" s="128" t="s">
        <v>818</v>
      </c>
      <c r="J32" s="128">
        <v>2019</v>
      </c>
      <c r="K32" s="163">
        <v>43784</v>
      </c>
      <c r="L32" s="163">
        <v>43800</v>
      </c>
      <c r="M32" s="164" t="s">
        <v>761</v>
      </c>
      <c r="N32" s="163">
        <v>43831</v>
      </c>
      <c r="O32" s="163" t="s">
        <v>644</v>
      </c>
      <c r="P32" s="241">
        <v>11477</v>
      </c>
      <c r="Q32" s="241" t="s">
        <v>744</v>
      </c>
      <c r="R32" s="252">
        <v>25</v>
      </c>
      <c r="S32" s="252">
        <v>2</v>
      </c>
      <c r="T32" s="252" t="s">
        <v>663</v>
      </c>
      <c r="U32" s="252">
        <v>348</v>
      </c>
      <c r="V32" s="252">
        <f t="shared" si="0"/>
        <v>348</v>
      </c>
      <c r="W32" s="252">
        <v>153</v>
      </c>
      <c r="X32" s="252">
        <v>64</v>
      </c>
      <c r="Y32" s="252">
        <v>79</v>
      </c>
      <c r="Z32" s="252">
        <v>52</v>
      </c>
      <c r="AA32" s="252"/>
      <c r="AB32" s="253">
        <v>368</v>
      </c>
      <c r="AC32" s="254">
        <f t="shared" si="1"/>
        <v>25542.899999999998</v>
      </c>
      <c r="AD32" s="255">
        <v>19688.599999999999</v>
      </c>
      <c r="AE32" s="255">
        <f t="shared" si="4"/>
        <v>5854.3</v>
      </c>
      <c r="AF32" s="256">
        <v>4414.3</v>
      </c>
      <c r="AG32" s="256">
        <v>1440</v>
      </c>
      <c r="AH32" s="257">
        <v>10943.2</v>
      </c>
      <c r="AI32" s="258">
        <v>19555.5</v>
      </c>
      <c r="AJ32" s="258">
        <v>1134</v>
      </c>
      <c r="AK32" s="258" t="e">
        <f>#REF!</f>
        <v>#REF!</v>
      </c>
      <c r="AL32" s="259">
        <v>40347.1</v>
      </c>
      <c r="AM32" s="259">
        <v>39213.1</v>
      </c>
      <c r="AN32" s="260">
        <v>1997.3</v>
      </c>
      <c r="AO32" s="260"/>
      <c r="AP32" s="261">
        <v>2880</v>
      </c>
      <c r="AQ32" s="261">
        <v>2880</v>
      </c>
      <c r="AR32" s="261">
        <v>1149.4000000000001</v>
      </c>
      <c r="AS32" s="261">
        <v>11621</v>
      </c>
      <c r="AT32" s="261">
        <v>20120</v>
      </c>
      <c r="AU32" s="261">
        <v>1860</v>
      </c>
      <c r="AV32" s="261">
        <v>4360</v>
      </c>
      <c r="AW32" s="261">
        <v>4880</v>
      </c>
      <c r="AX32" s="261">
        <v>4960</v>
      </c>
      <c r="AY32" s="261">
        <v>5120</v>
      </c>
      <c r="AZ32" s="261">
        <v>3512</v>
      </c>
      <c r="BA32" s="262">
        <v>13</v>
      </c>
      <c r="BB32" s="263">
        <f t="shared" si="3"/>
        <v>8.6666666666666663E-3</v>
      </c>
      <c r="BC32" s="259">
        <v>125</v>
      </c>
      <c r="BD32" s="264" t="s">
        <v>748</v>
      </c>
      <c r="BE32" s="264" t="s">
        <v>33</v>
      </c>
      <c r="BF32" s="264" t="s">
        <v>34</v>
      </c>
      <c r="BG32" s="265" t="s">
        <v>10</v>
      </c>
      <c r="BH32" s="265" t="s">
        <v>12</v>
      </c>
      <c r="BI32" s="265" t="s">
        <v>82</v>
      </c>
      <c r="BJ32" s="265">
        <v>6</v>
      </c>
      <c r="BK32" s="264"/>
      <c r="BL32" s="266"/>
      <c r="BM32" s="266"/>
      <c r="BN32" s="266"/>
      <c r="BO32" s="266"/>
      <c r="BP32" s="267"/>
      <c r="BQ32" s="267">
        <v>1</v>
      </c>
      <c r="BR32" s="267">
        <v>1</v>
      </c>
      <c r="BS32" s="267">
        <v>1</v>
      </c>
      <c r="BT32" s="267">
        <v>1</v>
      </c>
      <c r="BU32" s="266"/>
      <c r="BV32" s="274"/>
      <c r="BW32" s="286">
        <v>557.5</v>
      </c>
      <c r="BX32" s="274" t="s">
        <v>711</v>
      </c>
      <c r="BY32" s="274"/>
      <c r="BZ32" s="274"/>
      <c r="CA32" s="274"/>
      <c r="CB32" s="274"/>
      <c r="CC32" s="274"/>
      <c r="CD32" s="274" t="s">
        <v>61</v>
      </c>
      <c r="CE32" s="274" t="s">
        <v>476</v>
      </c>
      <c r="CF32" s="274"/>
      <c r="CG32" s="274"/>
      <c r="CH32" s="274"/>
      <c r="CI32" s="274" t="s">
        <v>674</v>
      </c>
      <c r="CJ32" s="274"/>
      <c r="CK32" s="288">
        <v>1102.5</v>
      </c>
      <c r="CL32" s="288">
        <f>CK32</f>
        <v>1102.5</v>
      </c>
      <c r="CM32" s="289">
        <f>156.4+24.7</f>
        <v>181.1</v>
      </c>
      <c r="CN32" s="288"/>
      <c r="CO32" s="289">
        <v>12.9</v>
      </c>
      <c r="CP32" s="288">
        <f>13470.4-3475.4</f>
        <v>9995</v>
      </c>
      <c r="CQ32" s="271" t="s">
        <v>772</v>
      </c>
    </row>
    <row r="33" spans="1:95" ht="50.1" customHeight="1" x14ac:dyDescent="0.35">
      <c r="A33" s="128">
        <v>30</v>
      </c>
      <c r="B33" s="250" t="s">
        <v>639</v>
      </c>
      <c r="C33" s="128" t="s">
        <v>64</v>
      </c>
      <c r="D33" s="233" t="s">
        <v>39</v>
      </c>
      <c r="E33" s="128" t="s">
        <v>641</v>
      </c>
      <c r="F33" s="128">
        <v>423832</v>
      </c>
      <c r="G33" s="234" t="s">
        <v>690</v>
      </c>
      <c r="H33" s="238" t="s">
        <v>694</v>
      </c>
      <c r="I33" s="128" t="s">
        <v>814</v>
      </c>
      <c r="J33" s="128">
        <v>2019</v>
      </c>
      <c r="K33" s="163">
        <v>43794</v>
      </c>
      <c r="L33" s="163">
        <v>43800</v>
      </c>
      <c r="M33" s="164" t="s">
        <v>761</v>
      </c>
      <c r="N33" s="163">
        <v>43831</v>
      </c>
      <c r="O33" s="163" t="s">
        <v>645</v>
      </c>
      <c r="P33" s="241">
        <v>11536</v>
      </c>
      <c r="Q33" s="241" t="s">
        <v>745</v>
      </c>
      <c r="R33" s="252">
        <v>18</v>
      </c>
      <c r="S33" s="252">
        <v>1</v>
      </c>
      <c r="T33" s="252" t="s">
        <v>658</v>
      </c>
      <c r="U33" s="252">
        <v>160</v>
      </c>
      <c r="V33" s="252">
        <f t="shared" si="0"/>
        <v>160</v>
      </c>
      <c r="W33" s="252">
        <v>48</v>
      </c>
      <c r="X33" s="252">
        <v>64</v>
      </c>
      <c r="Y33" s="252">
        <v>32</v>
      </c>
      <c r="Z33" s="252">
        <v>16</v>
      </c>
      <c r="AA33" s="252"/>
      <c r="AB33" s="253">
        <v>243</v>
      </c>
      <c r="AC33" s="254">
        <f t="shared" si="1"/>
        <v>9959.4</v>
      </c>
      <c r="AD33" s="255">
        <v>8604.5</v>
      </c>
      <c r="AE33" s="255">
        <f t="shared" si="4"/>
        <v>1354.8999999999999</v>
      </c>
      <c r="AF33" s="256">
        <v>88.7</v>
      </c>
      <c r="AG33" s="256">
        <f>480.9+94.9+124.5+565.9</f>
        <v>1266.1999999999998</v>
      </c>
      <c r="AH33" s="257">
        <v>4389.3</v>
      </c>
      <c r="AI33" s="258">
        <v>4215.8</v>
      </c>
      <c r="AJ33" s="258">
        <v>242.3</v>
      </c>
      <c r="AK33" s="258" t="e">
        <f>#REF!</f>
        <v>#REF!</v>
      </c>
      <c r="AL33" s="259">
        <v>13129.099999999999</v>
      </c>
      <c r="AM33" s="259">
        <v>12886.8</v>
      </c>
      <c r="AN33" s="260">
        <v>1699.2</v>
      </c>
      <c r="AO33" s="260">
        <v>1922.5</v>
      </c>
      <c r="AP33" s="261">
        <v>640</v>
      </c>
      <c r="AQ33" s="261">
        <v>640</v>
      </c>
      <c r="AR33" s="261">
        <v>639.70000000000005</v>
      </c>
      <c r="AS33" s="261">
        <v>615.9</v>
      </c>
      <c r="AT33" s="261">
        <v>5200</v>
      </c>
      <c r="AU33" s="261">
        <v>1428</v>
      </c>
      <c r="AV33" s="261">
        <v>1040</v>
      </c>
      <c r="AW33" s="261">
        <v>930</v>
      </c>
      <c r="AX33" s="261">
        <v>1130</v>
      </c>
      <c r="AY33" s="261">
        <v>940</v>
      </c>
      <c r="AZ33" s="261">
        <v>615.9</v>
      </c>
      <c r="BA33" s="262">
        <v>13</v>
      </c>
      <c r="BB33" s="263">
        <f t="shared" si="3"/>
        <v>8.6666666666666663E-3</v>
      </c>
      <c r="BC33" s="259">
        <v>125</v>
      </c>
      <c r="BD33" s="264" t="s">
        <v>620</v>
      </c>
      <c r="BE33" s="264" t="s">
        <v>33</v>
      </c>
      <c r="BF33" s="264" t="s">
        <v>34</v>
      </c>
      <c r="BG33" s="265" t="s">
        <v>10</v>
      </c>
      <c r="BH33" s="265" t="s">
        <v>12</v>
      </c>
      <c r="BI33" s="265" t="s">
        <v>82</v>
      </c>
      <c r="BJ33" s="265">
        <v>2</v>
      </c>
      <c r="BK33" s="264"/>
      <c r="BL33" s="266">
        <v>1</v>
      </c>
      <c r="BM33" s="266">
        <v>1</v>
      </c>
      <c r="BN33" s="266">
        <v>1</v>
      </c>
      <c r="BO33" s="266"/>
      <c r="BP33" s="267"/>
      <c r="BQ33" s="267">
        <v>1</v>
      </c>
      <c r="BR33" s="267">
        <v>1</v>
      </c>
      <c r="BS33" s="267">
        <v>1</v>
      </c>
      <c r="BT33" s="267">
        <v>1</v>
      </c>
      <c r="BU33" s="266"/>
      <c r="BV33" s="274" t="s">
        <v>654</v>
      </c>
      <c r="BW33" s="274" t="s">
        <v>655</v>
      </c>
      <c r="BX33" s="274" t="s">
        <v>573</v>
      </c>
      <c r="BY33" s="274" t="s">
        <v>656</v>
      </c>
      <c r="BZ33" s="274" t="s">
        <v>657</v>
      </c>
      <c r="CA33" s="274"/>
      <c r="CB33" s="274"/>
      <c r="CC33" s="274"/>
      <c r="CD33" s="274" t="s">
        <v>61</v>
      </c>
      <c r="CE33" s="274" t="s">
        <v>113</v>
      </c>
      <c r="CF33" s="274"/>
      <c r="CG33" s="274"/>
      <c r="CH33" s="274"/>
      <c r="CI33" s="275" t="s">
        <v>399</v>
      </c>
      <c r="CJ33" s="274"/>
      <c r="CK33" s="287">
        <v>207.6</v>
      </c>
      <c r="CL33" s="281">
        <f>CK33</f>
        <v>207.6</v>
      </c>
      <c r="CM33" s="281">
        <f>25+8.7</f>
        <v>33.700000000000003</v>
      </c>
      <c r="CN33" s="281"/>
      <c r="CO33" s="281">
        <v>4.3</v>
      </c>
      <c r="CP33" s="281">
        <v>1315.6</v>
      </c>
      <c r="CQ33" s="271" t="s">
        <v>772</v>
      </c>
    </row>
    <row r="34" spans="1:95" s="203" customFormat="1" ht="53.7" customHeight="1" x14ac:dyDescent="0.35">
      <c r="A34" s="128">
        <v>31</v>
      </c>
      <c r="B34" s="251" t="s">
        <v>633</v>
      </c>
      <c r="C34" s="128" t="s">
        <v>459</v>
      </c>
      <c r="D34" s="233" t="s">
        <v>447</v>
      </c>
      <c r="E34" s="128" t="s">
        <v>35</v>
      </c>
      <c r="F34" s="128">
        <v>423821</v>
      </c>
      <c r="G34" s="234" t="s">
        <v>684</v>
      </c>
      <c r="H34" s="238" t="s">
        <v>693</v>
      </c>
      <c r="I34" s="128" t="s">
        <v>813</v>
      </c>
      <c r="J34" s="128">
        <v>2019</v>
      </c>
      <c r="K34" s="243">
        <v>43795</v>
      </c>
      <c r="L34" s="163">
        <v>43800</v>
      </c>
      <c r="M34" s="164" t="s">
        <v>761</v>
      </c>
      <c r="N34" s="163">
        <v>43831</v>
      </c>
      <c r="O34" s="163" t="s">
        <v>634</v>
      </c>
      <c r="P34" s="241">
        <v>11549</v>
      </c>
      <c r="Q34" s="241" t="s">
        <v>635</v>
      </c>
      <c r="R34" s="252">
        <v>20</v>
      </c>
      <c r="S34" s="252">
        <v>1</v>
      </c>
      <c r="T34" s="252" t="s">
        <v>636</v>
      </c>
      <c r="U34" s="252">
        <v>179</v>
      </c>
      <c r="V34" s="252">
        <f t="shared" si="0"/>
        <v>179</v>
      </c>
      <c r="W34" s="252">
        <v>54</v>
      </c>
      <c r="X34" s="252">
        <v>89</v>
      </c>
      <c r="Y34" s="252">
        <v>35</v>
      </c>
      <c r="Z34" s="252"/>
      <c r="AA34" s="252">
        <v>1</v>
      </c>
      <c r="AB34" s="253">
        <v>184</v>
      </c>
      <c r="AC34" s="254">
        <f t="shared" si="1"/>
        <v>9551.2000000000007</v>
      </c>
      <c r="AD34" s="255">
        <v>8822.5</v>
      </c>
      <c r="AE34" s="255">
        <f t="shared" si="4"/>
        <v>728.7</v>
      </c>
      <c r="AF34" s="256"/>
      <c r="AG34" s="256">
        <v>728.7</v>
      </c>
      <c r="AH34" s="257">
        <v>4454.1000000000004</v>
      </c>
      <c r="AI34" s="258">
        <v>4368.3999999999996</v>
      </c>
      <c r="AJ34" s="258">
        <v>658.3</v>
      </c>
      <c r="AK34" s="258" t="e">
        <f>#REF!</f>
        <v>#REF!</v>
      </c>
      <c r="AL34" s="259">
        <v>13189.1</v>
      </c>
      <c r="AM34" s="259">
        <v>12530.800000000001</v>
      </c>
      <c r="AN34" s="259">
        <v>1027.0999999999999</v>
      </c>
      <c r="AO34" s="262">
        <v>2053.9</v>
      </c>
      <c r="AP34" s="252">
        <v>780.7</v>
      </c>
      <c r="AQ34" s="252">
        <v>780.7</v>
      </c>
      <c r="AR34" s="290">
        <v>735.3</v>
      </c>
      <c r="AS34" s="290">
        <v>616.29999999999995</v>
      </c>
      <c r="AT34" s="290">
        <v>3040</v>
      </c>
      <c r="AU34" s="290">
        <v>914</v>
      </c>
      <c r="AV34" s="252">
        <v>620</v>
      </c>
      <c r="AW34" s="290">
        <v>980</v>
      </c>
      <c r="AX34" s="290">
        <v>1020</v>
      </c>
      <c r="AY34" s="290">
        <v>980</v>
      </c>
      <c r="AZ34" s="290">
        <v>1629</v>
      </c>
      <c r="BA34" s="291">
        <v>13</v>
      </c>
      <c r="BB34" s="263">
        <f t="shared" si="3"/>
        <v>8.6666666666666663E-3</v>
      </c>
      <c r="BC34" s="259">
        <v>125</v>
      </c>
      <c r="BD34" s="264" t="s">
        <v>620</v>
      </c>
      <c r="BE34" s="264" t="s">
        <v>33</v>
      </c>
      <c r="BF34" s="264" t="s">
        <v>34</v>
      </c>
      <c r="BG34" s="265" t="s">
        <v>10</v>
      </c>
      <c r="BH34" s="265" t="s">
        <v>12</v>
      </c>
      <c r="BI34" s="265" t="s">
        <v>82</v>
      </c>
      <c r="BJ34" s="274" t="s">
        <v>358</v>
      </c>
      <c r="BK34" s="274"/>
      <c r="BL34" s="266">
        <v>1</v>
      </c>
      <c r="BM34" s="266">
        <v>1</v>
      </c>
      <c r="BN34" s="266">
        <v>1</v>
      </c>
      <c r="BO34" s="274"/>
      <c r="BP34" s="274"/>
      <c r="BQ34" s="267">
        <v>1</v>
      </c>
      <c r="BR34" s="267">
        <v>1</v>
      </c>
      <c r="BS34" s="267">
        <v>1</v>
      </c>
      <c r="BT34" s="267">
        <v>1</v>
      </c>
      <c r="BU34" s="266"/>
      <c r="BV34" s="274"/>
      <c r="BW34" s="274" t="s">
        <v>672</v>
      </c>
      <c r="BX34" s="274" t="s">
        <v>713</v>
      </c>
      <c r="BY34" s="274" t="s">
        <v>673</v>
      </c>
      <c r="BZ34" s="274"/>
      <c r="CA34" s="274"/>
      <c r="CB34" s="274"/>
      <c r="CC34" s="274"/>
      <c r="CD34" s="274" t="s">
        <v>478</v>
      </c>
      <c r="CE34" s="274" t="s">
        <v>358</v>
      </c>
      <c r="CF34" s="274" t="s">
        <v>478</v>
      </c>
      <c r="CG34" s="274"/>
      <c r="CH34" s="274"/>
      <c r="CI34" s="274"/>
      <c r="CJ34" s="274"/>
      <c r="CK34" s="292">
        <v>212.8</v>
      </c>
      <c r="CL34" s="293">
        <v>212.8</v>
      </c>
      <c r="CM34" s="293">
        <v>15.4</v>
      </c>
      <c r="CN34" s="293"/>
      <c r="CO34" s="293">
        <v>4.3</v>
      </c>
      <c r="CP34" s="293">
        <v>1464.7</v>
      </c>
      <c r="CQ34" s="271" t="s">
        <v>772</v>
      </c>
    </row>
    <row r="35" spans="1:95" ht="59.95" customHeight="1" x14ac:dyDescent="0.35">
      <c r="A35" s="128">
        <v>32</v>
      </c>
      <c r="B35" s="251" t="s">
        <v>643</v>
      </c>
      <c r="C35" s="128" t="s">
        <v>459</v>
      </c>
      <c r="D35" s="233" t="s">
        <v>424</v>
      </c>
      <c r="E35" s="128">
        <v>7</v>
      </c>
      <c r="F35" s="128">
        <v>423827</v>
      </c>
      <c r="G35" s="234" t="s">
        <v>685</v>
      </c>
      <c r="H35" s="238" t="s">
        <v>692</v>
      </c>
      <c r="I35" s="128" t="s">
        <v>817</v>
      </c>
      <c r="J35" s="128">
        <v>2019</v>
      </c>
      <c r="K35" s="163">
        <v>43811</v>
      </c>
      <c r="L35" s="163">
        <v>43812</v>
      </c>
      <c r="M35" s="164" t="s">
        <v>761</v>
      </c>
      <c r="N35" s="163">
        <v>43862</v>
      </c>
      <c r="O35" s="163" t="s">
        <v>651</v>
      </c>
      <c r="P35" s="241">
        <v>11606</v>
      </c>
      <c r="Q35" s="244">
        <v>16520703078315</v>
      </c>
      <c r="R35" s="252">
        <v>17</v>
      </c>
      <c r="S35" s="252">
        <v>1</v>
      </c>
      <c r="T35" s="252" t="s">
        <v>665</v>
      </c>
      <c r="U35" s="252">
        <v>176</v>
      </c>
      <c r="V35" s="252">
        <f t="shared" si="0"/>
        <v>176</v>
      </c>
      <c r="W35" s="252">
        <v>80</v>
      </c>
      <c r="X35" s="252">
        <v>64</v>
      </c>
      <c r="Y35" s="252">
        <v>32</v>
      </c>
      <c r="Z35" s="252"/>
      <c r="AA35" s="252"/>
      <c r="AB35" s="253">
        <v>252</v>
      </c>
      <c r="AC35" s="254">
        <f t="shared" si="1"/>
        <v>8591.9</v>
      </c>
      <c r="AD35" s="255">
        <v>7846.9</v>
      </c>
      <c r="AE35" s="255">
        <f t="shared" si="4"/>
        <v>745</v>
      </c>
      <c r="AF35" s="256">
        <v>87.7</v>
      </c>
      <c r="AG35" s="256">
        <f>340.4+316.9</f>
        <v>657.3</v>
      </c>
      <c r="AH35" s="257">
        <v>4153.3999999999996</v>
      </c>
      <c r="AI35" s="258">
        <v>7846.9</v>
      </c>
      <c r="AJ35" s="258"/>
      <c r="AK35" s="258" t="e">
        <f>#REF!</f>
        <v>#REF!</v>
      </c>
      <c r="AL35" s="259">
        <v>11302.4</v>
      </c>
      <c r="AM35" s="259">
        <v>11302.4</v>
      </c>
      <c r="AN35" s="260">
        <v>950.7</v>
      </c>
      <c r="AO35" s="260">
        <v>37985.300000000003</v>
      </c>
      <c r="AP35" s="261">
        <v>720</v>
      </c>
      <c r="AQ35" s="261">
        <v>720</v>
      </c>
      <c r="AR35" s="261">
        <v>655.1</v>
      </c>
      <c r="AS35" s="261">
        <v>630.29999999999995</v>
      </c>
      <c r="AT35" s="261">
        <v>5030</v>
      </c>
      <c r="AU35" s="261">
        <v>900.1</v>
      </c>
      <c r="AV35" s="261">
        <v>1090</v>
      </c>
      <c r="AW35" s="261">
        <v>1220</v>
      </c>
      <c r="AX35" s="261">
        <v>1240</v>
      </c>
      <c r="AY35" s="261">
        <v>1280</v>
      </c>
      <c r="AZ35" s="261">
        <v>2648</v>
      </c>
      <c r="BA35" s="262">
        <v>13</v>
      </c>
      <c r="BB35" s="263">
        <f t="shared" si="3"/>
        <v>8.6666666666666663E-3</v>
      </c>
      <c r="BC35" s="259">
        <v>125</v>
      </c>
      <c r="BD35" s="264" t="s">
        <v>620</v>
      </c>
      <c r="BE35" s="264" t="s">
        <v>33</v>
      </c>
      <c r="BF35" s="264" t="s">
        <v>34</v>
      </c>
      <c r="BG35" s="265" t="s">
        <v>10</v>
      </c>
      <c r="BH35" s="265" t="s">
        <v>12</v>
      </c>
      <c r="BI35" s="265" t="s">
        <v>82</v>
      </c>
      <c r="BJ35" s="265">
        <v>2</v>
      </c>
      <c r="BK35" s="264"/>
      <c r="BL35" s="266">
        <v>1</v>
      </c>
      <c r="BM35" s="266">
        <v>1</v>
      </c>
      <c r="BN35" s="266">
        <v>1</v>
      </c>
      <c r="BO35" s="266"/>
      <c r="BP35" s="267"/>
      <c r="BQ35" s="267">
        <v>1</v>
      </c>
      <c r="BR35" s="267">
        <v>1</v>
      </c>
      <c r="BS35" s="267">
        <v>1</v>
      </c>
      <c r="BT35" s="267">
        <v>1</v>
      </c>
      <c r="BU35" s="266"/>
      <c r="BV35" s="274"/>
      <c r="BW35" s="286" t="s">
        <v>624</v>
      </c>
      <c r="BX35" s="274" t="s">
        <v>714</v>
      </c>
      <c r="BY35" s="274"/>
      <c r="BZ35" s="274"/>
      <c r="CA35" s="274"/>
      <c r="CB35" s="274"/>
      <c r="CC35" s="274"/>
      <c r="CD35" s="274"/>
      <c r="CE35" s="274"/>
      <c r="CF35" s="274"/>
      <c r="CG35" s="274"/>
      <c r="CH35" s="274"/>
      <c r="CI35" s="274"/>
      <c r="CJ35" s="274"/>
      <c r="CK35" s="287">
        <v>201.7</v>
      </c>
      <c r="CL35" s="281">
        <v>252.2</v>
      </c>
      <c r="CM35" s="281">
        <f>13.1+6.6</f>
        <v>19.7</v>
      </c>
      <c r="CN35" s="281"/>
      <c r="CO35" s="281">
        <v>4.3</v>
      </c>
      <c r="CP35" s="281">
        <v>1210.5</v>
      </c>
      <c r="CQ35" s="266" t="s">
        <v>772</v>
      </c>
    </row>
    <row r="36" spans="1:95" ht="61.4" customHeight="1" x14ac:dyDescent="0.35">
      <c r="A36" s="128">
        <v>33</v>
      </c>
      <c r="B36" s="250" t="s">
        <v>642</v>
      </c>
      <c r="C36" s="128" t="s">
        <v>459</v>
      </c>
      <c r="D36" s="233" t="s">
        <v>413</v>
      </c>
      <c r="E36" s="128">
        <v>16</v>
      </c>
      <c r="F36" s="128">
        <v>423827</v>
      </c>
      <c r="G36" s="234" t="s">
        <v>685</v>
      </c>
      <c r="H36" s="238" t="s">
        <v>692</v>
      </c>
      <c r="I36" s="128" t="s">
        <v>816</v>
      </c>
      <c r="J36" s="128">
        <v>2019</v>
      </c>
      <c r="K36" s="163">
        <v>43811</v>
      </c>
      <c r="L36" s="163">
        <v>43812</v>
      </c>
      <c r="M36" s="164" t="s">
        <v>761</v>
      </c>
      <c r="N36" s="163">
        <v>43862</v>
      </c>
      <c r="O36" s="163" t="s">
        <v>634</v>
      </c>
      <c r="P36" s="241">
        <v>10814</v>
      </c>
      <c r="Q36" s="241" t="s">
        <v>675</v>
      </c>
      <c r="R36" s="252">
        <v>18</v>
      </c>
      <c r="S36" s="252">
        <v>1</v>
      </c>
      <c r="T36" s="252" t="s">
        <v>664</v>
      </c>
      <c r="U36" s="252">
        <v>198</v>
      </c>
      <c r="V36" s="252">
        <f t="shared" si="0"/>
        <v>198</v>
      </c>
      <c r="W36" s="252">
        <v>90</v>
      </c>
      <c r="X36" s="252">
        <v>72</v>
      </c>
      <c r="Y36" s="252">
        <v>36</v>
      </c>
      <c r="Z36" s="252"/>
      <c r="AA36" s="252"/>
      <c r="AB36" s="253">
        <v>298</v>
      </c>
      <c r="AC36" s="254">
        <f t="shared" si="1"/>
        <v>8775.2999999999993</v>
      </c>
      <c r="AD36" s="255">
        <v>8679.5</v>
      </c>
      <c r="AE36" s="255">
        <f t="shared" si="4"/>
        <v>95.8</v>
      </c>
      <c r="AF36" s="256">
        <v>95.8</v>
      </c>
      <c r="AG36" s="256"/>
      <c r="AH36" s="257">
        <v>4536.6000000000004</v>
      </c>
      <c r="AI36" s="258">
        <v>4142.8999999999996</v>
      </c>
      <c r="AJ36" s="258">
        <v>759.7</v>
      </c>
      <c r="AK36" s="258" t="e">
        <f>#REF!</f>
        <v>#REF!</v>
      </c>
      <c r="AL36" s="259">
        <v>11936.1</v>
      </c>
      <c r="AM36" s="259">
        <v>11176.4</v>
      </c>
      <c r="AN36" s="260">
        <v>895.5</v>
      </c>
      <c r="AO36" s="260">
        <v>2611.5</v>
      </c>
      <c r="AP36" s="261">
        <v>579.70000000000005</v>
      </c>
      <c r="AQ36" s="261">
        <v>579.70000000000005</v>
      </c>
      <c r="AR36" s="261">
        <v>119.4</v>
      </c>
      <c r="AS36" s="261">
        <v>593</v>
      </c>
      <c r="AT36" s="261">
        <v>5400</v>
      </c>
      <c r="AU36" s="261">
        <v>820</v>
      </c>
      <c r="AV36" s="261">
        <v>1050</v>
      </c>
      <c r="AW36" s="261">
        <v>1140</v>
      </c>
      <c r="AX36" s="261">
        <v>1220</v>
      </c>
      <c r="AY36" s="261">
        <v>1300</v>
      </c>
      <c r="AZ36" s="261">
        <v>1280</v>
      </c>
      <c r="BA36" s="262">
        <v>13</v>
      </c>
      <c r="BB36" s="263">
        <f t="shared" si="3"/>
        <v>8.6666666666666663E-3</v>
      </c>
      <c r="BC36" s="259">
        <v>125</v>
      </c>
      <c r="BD36" s="264" t="s">
        <v>676</v>
      </c>
      <c r="BE36" s="264" t="s">
        <v>33</v>
      </c>
      <c r="BF36" s="264" t="s">
        <v>34</v>
      </c>
      <c r="BG36" s="265" t="s">
        <v>10</v>
      </c>
      <c r="BH36" s="265" t="s">
        <v>12</v>
      </c>
      <c r="BI36" s="265" t="s">
        <v>82</v>
      </c>
      <c r="BJ36" s="265">
        <v>2</v>
      </c>
      <c r="BK36" s="264"/>
      <c r="BL36" s="266">
        <v>1</v>
      </c>
      <c r="BM36" s="266">
        <v>1</v>
      </c>
      <c r="BN36" s="266">
        <v>1</v>
      </c>
      <c r="BO36" s="266"/>
      <c r="BP36" s="267"/>
      <c r="BQ36" s="267">
        <v>1</v>
      </c>
      <c r="BR36" s="267">
        <v>1</v>
      </c>
      <c r="BS36" s="267">
        <v>1</v>
      </c>
      <c r="BT36" s="267">
        <v>1</v>
      </c>
      <c r="BU36" s="266"/>
      <c r="BV36" s="274"/>
      <c r="BW36" s="286" t="s">
        <v>624</v>
      </c>
      <c r="BX36" s="274" t="s">
        <v>712</v>
      </c>
      <c r="BY36" s="274"/>
      <c r="BZ36" s="274"/>
      <c r="CA36" s="274"/>
      <c r="CB36" s="274"/>
      <c r="CC36" s="274"/>
      <c r="CD36" s="274" t="s">
        <v>61</v>
      </c>
      <c r="CE36" s="274" t="s">
        <v>61</v>
      </c>
      <c r="CF36" s="274"/>
      <c r="CG36" s="274"/>
      <c r="CH36" s="274"/>
      <c r="CI36" s="274"/>
      <c r="CJ36" s="274"/>
      <c r="CK36" s="287">
        <v>208.7</v>
      </c>
      <c r="CL36" s="281">
        <v>271.2</v>
      </c>
      <c r="CM36" s="281">
        <f>4.1+3</f>
        <v>7.1</v>
      </c>
      <c r="CN36" s="281"/>
      <c r="CO36" s="281">
        <v>4.3</v>
      </c>
      <c r="CP36" s="281">
        <v>1467.1</v>
      </c>
      <c r="CQ36" s="271" t="s">
        <v>772</v>
      </c>
    </row>
    <row r="37" spans="1:95" ht="51.05" customHeight="1" x14ac:dyDescent="0.3">
      <c r="A37" s="128">
        <v>34</v>
      </c>
      <c r="B37" s="250" t="s">
        <v>864</v>
      </c>
      <c r="C37" s="128" t="s">
        <v>64</v>
      </c>
      <c r="D37" s="233" t="s">
        <v>678</v>
      </c>
      <c r="E37" s="128">
        <v>42</v>
      </c>
      <c r="F37" s="128">
        <v>423831</v>
      </c>
      <c r="G37" s="234" t="s">
        <v>688</v>
      </c>
      <c r="H37" s="240" t="s">
        <v>695</v>
      </c>
      <c r="I37" s="128" t="s">
        <v>815</v>
      </c>
      <c r="J37" s="128">
        <v>2020</v>
      </c>
      <c r="K37" s="163">
        <v>44011</v>
      </c>
      <c r="L37" s="163">
        <v>44049</v>
      </c>
      <c r="M37" s="163"/>
      <c r="N37" s="163">
        <v>44105</v>
      </c>
      <c r="O37" s="163" t="s">
        <v>585</v>
      </c>
      <c r="P37" s="241">
        <v>11689</v>
      </c>
      <c r="Q37" s="241" t="s">
        <v>705</v>
      </c>
      <c r="R37" s="252">
        <v>19</v>
      </c>
      <c r="S37" s="252">
        <v>1</v>
      </c>
      <c r="T37" s="252" t="s">
        <v>706</v>
      </c>
      <c r="U37" s="252">
        <v>171</v>
      </c>
      <c r="V37" s="252">
        <v>171</v>
      </c>
      <c r="W37" s="252">
        <v>38</v>
      </c>
      <c r="X37" s="252">
        <v>76</v>
      </c>
      <c r="Y37" s="252">
        <v>57</v>
      </c>
      <c r="Z37" s="252"/>
      <c r="AA37" s="252"/>
      <c r="AB37" s="253">
        <v>205</v>
      </c>
      <c r="AC37" s="254">
        <f t="shared" si="1"/>
        <v>9284.6</v>
      </c>
      <c r="AD37" s="255">
        <v>9284.6</v>
      </c>
      <c r="AE37" s="255">
        <f t="shared" si="4"/>
        <v>0</v>
      </c>
      <c r="AF37" s="255"/>
      <c r="AG37" s="255"/>
      <c r="AH37" s="258">
        <v>4547</v>
      </c>
      <c r="AI37" s="258">
        <v>9284.6</v>
      </c>
      <c r="AJ37" s="258"/>
      <c r="AK37" s="258" t="e">
        <f>#REF!</f>
        <v>#REF!</v>
      </c>
      <c r="AL37" s="259">
        <v>12417.5</v>
      </c>
      <c r="AM37" s="259">
        <v>12417.5</v>
      </c>
      <c r="AN37" s="260">
        <v>904</v>
      </c>
      <c r="AO37" s="260"/>
      <c r="AP37" s="261">
        <v>790</v>
      </c>
      <c r="AQ37" s="261">
        <v>790</v>
      </c>
      <c r="AR37" s="261">
        <v>760.6</v>
      </c>
      <c r="AS37" s="261">
        <v>641.5</v>
      </c>
      <c r="AT37" s="261">
        <v>5840</v>
      </c>
      <c r="AU37" s="261">
        <v>920.6</v>
      </c>
      <c r="AV37" s="261"/>
      <c r="AW37" s="261"/>
      <c r="AX37" s="261"/>
      <c r="AY37" s="261"/>
      <c r="AZ37" s="261"/>
      <c r="BA37" s="262">
        <v>6</v>
      </c>
      <c r="BB37" s="263">
        <f t="shared" si="3"/>
        <v>4.0000000000000001E-3</v>
      </c>
      <c r="BC37" s="259">
        <v>125</v>
      </c>
      <c r="BD37" s="264" t="s">
        <v>676</v>
      </c>
      <c r="BE37" s="264" t="s">
        <v>33</v>
      </c>
      <c r="BF37" s="264" t="s">
        <v>34</v>
      </c>
      <c r="BG37" s="265" t="s">
        <v>10</v>
      </c>
      <c r="BH37" s="265" t="s">
        <v>12</v>
      </c>
      <c r="BI37" s="265" t="s">
        <v>82</v>
      </c>
      <c r="BJ37" s="265">
        <v>2</v>
      </c>
      <c r="BK37" s="264"/>
      <c r="BL37" s="266">
        <v>1</v>
      </c>
      <c r="BM37" s="266">
        <v>1</v>
      </c>
      <c r="BN37" s="266">
        <v>1</v>
      </c>
      <c r="BO37" s="266"/>
      <c r="BP37" s="266"/>
      <c r="BQ37" s="267">
        <v>1</v>
      </c>
      <c r="BR37" s="267">
        <v>1</v>
      </c>
      <c r="BS37" s="267">
        <v>1</v>
      </c>
      <c r="BT37" s="267">
        <v>1</v>
      </c>
      <c r="BU37" s="266"/>
      <c r="BV37" s="274"/>
      <c r="BW37" s="274" t="s">
        <v>707</v>
      </c>
      <c r="BX37" s="274" t="s">
        <v>715</v>
      </c>
      <c r="BY37" s="274" t="s">
        <v>708</v>
      </c>
      <c r="BZ37" s="274" t="s">
        <v>709</v>
      </c>
      <c r="CA37" s="274"/>
      <c r="CB37" s="274"/>
      <c r="CC37" s="274"/>
      <c r="CD37" s="274" t="s">
        <v>113</v>
      </c>
      <c r="CE37" s="274" t="s">
        <v>710</v>
      </c>
      <c r="CF37" s="274"/>
      <c r="CG37" s="274"/>
      <c r="CH37" s="274"/>
      <c r="CI37" s="274" t="s">
        <v>768</v>
      </c>
      <c r="CJ37" s="274"/>
      <c r="CK37" s="287">
        <v>243.6</v>
      </c>
      <c r="CL37" s="281">
        <v>310.5</v>
      </c>
      <c r="CM37" s="281">
        <f>11.5+6.6</f>
        <v>18.100000000000001</v>
      </c>
      <c r="CN37" s="281"/>
      <c r="CO37" s="281">
        <v>4</v>
      </c>
      <c r="CP37" s="281">
        <v>1426.7</v>
      </c>
      <c r="CQ37" s="271" t="s">
        <v>772</v>
      </c>
    </row>
    <row r="38" spans="1:95" ht="51.05" customHeight="1" x14ac:dyDescent="0.3">
      <c r="A38" s="128">
        <v>35</v>
      </c>
      <c r="B38" s="250" t="s">
        <v>647</v>
      </c>
      <c r="C38" s="128" t="s">
        <v>459</v>
      </c>
      <c r="D38" s="233" t="s">
        <v>424</v>
      </c>
      <c r="E38" s="128">
        <v>9</v>
      </c>
      <c r="F38" s="128">
        <v>423827</v>
      </c>
      <c r="G38" s="234" t="s">
        <v>685</v>
      </c>
      <c r="H38" s="238" t="s">
        <v>692</v>
      </c>
      <c r="I38" s="128" t="s">
        <v>817</v>
      </c>
      <c r="J38" s="128">
        <v>2020</v>
      </c>
      <c r="K38" s="163">
        <v>44011</v>
      </c>
      <c r="L38" s="163">
        <v>44049</v>
      </c>
      <c r="M38" s="163"/>
      <c r="N38" s="163">
        <v>44075</v>
      </c>
      <c r="O38" s="163" t="s">
        <v>679</v>
      </c>
      <c r="P38" s="241">
        <v>11694</v>
      </c>
      <c r="Q38" s="241" t="s">
        <v>700</v>
      </c>
      <c r="R38" s="252">
        <v>17</v>
      </c>
      <c r="S38" s="252">
        <v>1</v>
      </c>
      <c r="T38" s="252" t="s">
        <v>680</v>
      </c>
      <c r="U38" s="252">
        <v>204</v>
      </c>
      <c r="V38" s="252">
        <f>W38+X38+Y38+Z38+AA38</f>
        <v>204</v>
      </c>
      <c r="W38" s="252">
        <v>102</v>
      </c>
      <c r="X38" s="252">
        <v>102</v>
      </c>
      <c r="Y38" s="252"/>
      <c r="Z38" s="252"/>
      <c r="AA38" s="252"/>
      <c r="AB38" s="253">
        <v>198</v>
      </c>
      <c r="AC38" s="254">
        <f t="shared" si="1"/>
        <v>8679.2999999999993</v>
      </c>
      <c r="AD38" s="255">
        <v>7980.9</v>
      </c>
      <c r="AE38" s="255">
        <f t="shared" si="4"/>
        <v>698.4</v>
      </c>
      <c r="AF38" s="255">
        <v>91</v>
      </c>
      <c r="AG38" s="255">
        <f>297+310.4</f>
        <v>607.4</v>
      </c>
      <c r="AH38" s="258">
        <v>3975.1</v>
      </c>
      <c r="AI38" s="258">
        <v>7980.9</v>
      </c>
      <c r="AJ38" s="258"/>
      <c r="AK38" s="258" t="e">
        <f>#REF!</f>
        <v>#REF!</v>
      </c>
      <c r="AL38" s="259">
        <v>11219.8</v>
      </c>
      <c r="AM38" s="259">
        <v>11219.8</v>
      </c>
      <c r="AN38" s="260">
        <v>879.9</v>
      </c>
      <c r="AO38" s="260"/>
      <c r="AP38" s="261">
        <v>798</v>
      </c>
      <c r="AQ38" s="261">
        <v>798</v>
      </c>
      <c r="AR38" s="261">
        <v>116.7</v>
      </c>
      <c r="AS38" s="261">
        <v>633.1</v>
      </c>
      <c r="AT38" s="261">
        <v>5620</v>
      </c>
      <c r="AU38" s="261">
        <v>900.2</v>
      </c>
      <c r="AV38" s="261">
        <v>1140</v>
      </c>
      <c r="AW38" s="261">
        <v>1320</v>
      </c>
      <c r="AX38" s="261">
        <v>1120</v>
      </c>
      <c r="AY38" s="261">
        <v>1380</v>
      </c>
      <c r="AZ38" s="261">
        <v>1348</v>
      </c>
      <c r="BA38" s="262">
        <v>6</v>
      </c>
      <c r="BB38" s="263">
        <f t="shared" si="3"/>
        <v>4.0000000000000001E-3</v>
      </c>
      <c r="BC38" s="259">
        <v>125</v>
      </c>
      <c r="BD38" s="264" t="s">
        <v>620</v>
      </c>
      <c r="BE38" s="264" t="s">
        <v>33</v>
      </c>
      <c r="BF38" s="264" t="s">
        <v>34</v>
      </c>
      <c r="BG38" s="265" t="s">
        <v>10</v>
      </c>
      <c r="BH38" s="265" t="s">
        <v>12</v>
      </c>
      <c r="BI38" s="265" t="s">
        <v>82</v>
      </c>
      <c r="BJ38" s="265">
        <v>2</v>
      </c>
      <c r="BK38" s="264"/>
      <c r="BL38" s="266">
        <v>1</v>
      </c>
      <c r="BM38" s="266">
        <v>1</v>
      </c>
      <c r="BN38" s="266">
        <v>1</v>
      </c>
      <c r="BO38" s="266"/>
      <c r="BP38" s="266"/>
      <c r="BQ38" s="267">
        <v>1</v>
      </c>
      <c r="BR38" s="267">
        <v>1</v>
      </c>
      <c r="BS38" s="267">
        <v>1</v>
      </c>
      <c r="BT38" s="267">
        <v>1</v>
      </c>
      <c r="BU38" s="266"/>
      <c r="BV38" s="274"/>
      <c r="BW38" s="274" t="s">
        <v>702</v>
      </c>
      <c r="BX38" s="274" t="s">
        <v>716</v>
      </c>
      <c r="BY38" s="274" t="s">
        <v>703</v>
      </c>
      <c r="BZ38" s="274" t="s">
        <v>704</v>
      </c>
      <c r="CA38" s="274"/>
      <c r="CB38" s="274"/>
      <c r="CC38" s="274"/>
      <c r="CD38" s="274" t="s">
        <v>478</v>
      </c>
      <c r="CE38" s="274" t="s">
        <v>572</v>
      </c>
      <c r="CF38" s="274"/>
      <c r="CG38" s="274"/>
      <c r="CH38" s="274"/>
      <c r="CI38" s="274"/>
      <c r="CJ38" s="274"/>
      <c r="CK38" s="287">
        <v>211</v>
      </c>
      <c r="CL38" s="281">
        <v>261.5</v>
      </c>
      <c r="CM38" s="281">
        <f>13.3+6.3</f>
        <v>19.600000000000001</v>
      </c>
      <c r="CN38" s="281"/>
      <c r="CO38" s="281">
        <v>4.2</v>
      </c>
      <c r="CP38" s="281">
        <v>1563.9</v>
      </c>
      <c r="CQ38" s="271" t="s">
        <v>772</v>
      </c>
    </row>
    <row r="39" spans="1:95" ht="49.3" customHeight="1" x14ac:dyDescent="0.3">
      <c r="A39" s="128">
        <v>36</v>
      </c>
      <c r="B39" s="250" t="s">
        <v>865</v>
      </c>
      <c r="C39" s="128" t="s">
        <v>64</v>
      </c>
      <c r="D39" s="233" t="s">
        <v>678</v>
      </c>
      <c r="E39" s="128" t="s">
        <v>696</v>
      </c>
      <c r="F39" s="128">
        <v>423831</v>
      </c>
      <c r="G39" s="234" t="s">
        <v>688</v>
      </c>
      <c r="H39" s="240" t="s">
        <v>695</v>
      </c>
      <c r="I39" s="128" t="s">
        <v>815</v>
      </c>
      <c r="J39" s="128">
        <v>2020</v>
      </c>
      <c r="K39" s="163">
        <v>44071</v>
      </c>
      <c r="L39" s="163">
        <v>44098</v>
      </c>
      <c r="M39" s="163"/>
      <c r="N39" s="163">
        <v>44136</v>
      </c>
      <c r="O39" s="163" t="s">
        <v>585</v>
      </c>
      <c r="P39" s="241">
        <v>11755</v>
      </c>
      <c r="Q39" s="241" t="s">
        <v>705</v>
      </c>
      <c r="R39" s="252">
        <v>18</v>
      </c>
      <c r="S39" s="252">
        <v>1</v>
      </c>
      <c r="T39" s="252" t="s">
        <v>701</v>
      </c>
      <c r="U39" s="252">
        <v>190</v>
      </c>
      <c r="V39" s="252">
        <v>190</v>
      </c>
      <c r="W39" s="252">
        <v>57</v>
      </c>
      <c r="X39" s="252">
        <v>95</v>
      </c>
      <c r="Y39" s="252">
        <v>38</v>
      </c>
      <c r="Z39" s="252"/>
      <c r="AA39" s="252"/>
      <c r="AB39" s="253">
        <v>141</v>
      </c>
      <c r="AC39" s="254">
        <f t="shared" si="1"/>
        <v>9140.6</v>
      </c>
      <c r="AD39" s="255">
        <v>9140.6</v>
      </c>
      <c r="AE39" s="255">
        <f t="shared" si="4"/>
        <v>0</v>
      </c>
      <c r="AF39" s="255"/>
      <c r="AG39" s="255"/>
      <c r="AH39" s="258">
        <v>4532.8</v>
      </c>
      <c r="AI39" s="258">
        <v>9140.6</v>
      </c>
      <c r="AJ39" s="258"/>
      <c r="AK39" s="258">
        <v>3224.5</v>
      </c>
      <c r="AL39" s="259">
        <v>12273.5</v>
      </c>
      <c r="AM39" s="259">
        <v>12273.5</v>
      </c>
      <c r="AN39" s="260">
        <v>899.7</v>
      </c>
      <c r="AO39" s="260"/>
      <c r="AP39" s="261">
        <v>810</v>
      </c>
      <c r="AQ39" s="261">
        <v>810</v>
      </c>
      <c r="AR39" s="261">
        <v>771.7</v>
      </c>
      <c r="AS39" s="261">
        <v>639.6</v>
      </c>
      <c r="AT39" s="261">
        <v>5860</v>
      </c>
      <c r="AU39" s="261">
        <v>921</v>
      </c>
      <c r="AV39" s="261"/>
      <c r="AW39" s="261"/>
      <c r="AX39" s="261"/>
      <c r="AY39" s="261"/>
      <c r="AZ39" s="261"/>
      <c r="BA39" s="262">
        <v>4</v>
      </c>
      <c r="BB39" s="263">
        <f t="shared" si="3"/>
        <v>2.6666666666666666E-3</v>
      </c>
      <c r="BC39" s="259">
        <v>125</v>
      </c>
      <c r="BD39" s="264" t="s">
        <v>676</v>
      </c>
      <c r="BE39" s="264" t="s">
        <v>33</v>
      </c>
      <c r="BF39" s="264" t="s">
        <v>34</v>
      </c>
      <c r="BG39" s="265" t="s">
        <v>10</v>
      </c>
      <c r="BH39" s="265" t="s">
        <v>12</v>
      </c>
      <c r="BI39" s="265" t="s">
        <v>82</v>
      </c>
      <c r="BJ39" s="265">
        <v>2</v>
      </c>
      <c r="BK39" s="264"/>
      <c r="BL39" s="266">
        <v>1</v>
      </c>
      <c r="BM39" s="266">
        <v>1</v>
      </c>
      <c r="BN39" s="266">
        <v>1</v>
      </c>
      <c r="BO39" s="266"/>
      <c r="BP39" s="266"/>
      <c r="BQ39" s="267">
        <v>1</v>
      </c>
      <c r="BR39" s="267">
        <v>1</v>
      </c>
      <c r="BS39" s="267">
        <v>1</v>
      </c>
      <c r="BT39" s="267">
        <v>1</v>
      </c>
      <c r="BU39" s="266"/>
      <c r="BV39" s="274"/>
      <c r="BW39" s="274"/>
      <c r="BX39" s="274" t="s">
        <v>717</v>
      </c>
      <c r="BY39" s="274"/>
      <c r="BZ39" s="274"/>
      <c r="CA39" s="274"/>
      <c r="CB39" s="274"/>
      <c r="CC39" s="274"/>
      <c r="CD39" s="274" t="s">
        <v>61</v>
      </c>
      <c r="CE39" s="274" t="s">
        <v>61</v>
      </c>
      <c r="CF39" s="274"/>
      <c r="CG39" s="274"/>
      <c r="CH39" s="274"/>
      <c r="CI39" s="274" t="s">
        <v>674</v>
      </c>
      <c r="CJ39" s="274"/>
      <c r="CK39" s="287">
        <v>305.89999999999998</v>
      </c>
      <c r="CL39" s="281">
        <v>357.7</v>
      </c>
      <c r="CM39" s="281">
        <v>19.5</v>
      </c>
      <c r="CN39" s="281"/>
      <c r="CO39" s="281">
        <v>3.8</v>
      </c>
      <c r="CP39" s="281">
        <v>1196.7</v>
      </c>
      <c r="CQ39" s="271" t="s">
        <v>772</v>
      </c>
    </row>
    <row r="40" spans="1:95" ht="59.95" customHeight="1" x14ac:dyDescent="0.3">
      <c r="A40" s="128">
        <v>37</v>
      </c>
      <c r="B40" s="250" t="s">
        <v>860</v>
      </c>
      <c r="C40" s="128" t="s">
        <v>64</v>
      </c>
      <c r="D40" s="233" t="s">
        <v>617</v>
      </c>
      <c r="E40" s="128">
        <v>11</v>
      </c>
      <c r="F40" s="128">
        <v>423838</v>
      </c>
      <c r="G40" s="234" t="s">
        <v>689</v>
      </c>
      <c r="H40" s="235" t="s">
        <v>755</v>
      </c>
      <c r="I40" s="128" t="s">
        <v>815</v>
      </c>
      <c r="J40" s="128">
        <v>2021</v>
      </c>
      <c r="K40" s="163">
        <v>44194</v>
      </c>
      <c r="L40" s="163">
        <v>44256</v>
      </c>
      <c r="M40" s="163"/>
      <c r="N40" s="163">
        <v>44317</v>
      </c>
      <c r="O40" s="163" t="s">
        <v>585</v>
      </c>
      <c r="P40" s="241">
        <v>11479</v>
      </c>
      <c r="Q40" s="241" t="s">
        <v>759</v>
      </c>
      <c r="R40" s="252">
        <v>18</v>
      </c>
      <c r="S40" s="252">
        <v>2</v>
      </c>
      <c r="T40" s="252" t="s">
        <v>760</v>
      </c>
      <c r="U40" s="252">
        <v>286</v>
      </c>
      <c r="V40" s="252">
        <v>286</v>
      </c>
      <c r="W40" s="252">
        <v>107</v>
      </c>
      <c r="X40" s="252">
        <v>142</v>
      </c>
      <c r="Y40" s="252">
        <v>37</v>
      </c>
      <c r="Z40" s="252"/>
      <c r="AA40" s="252"/>
      <c r="AB40" s="253">
        <v>228</v>
      </c>
      <c r="AC40" s="254">
        <f t="shared" si="1"/>
        <v>11237.2</v>
      </c>
      <c r="AD40" s="255">
        <v>11237.2</v>
      </c>
      <c r="AE40" s="255">
        <f t="shared" si="4"/>
        <v>0</v>
      </c>
      <c r="AF40" s="255"/>
      <c r="AG40" s="255"/>
      <c r="AH40" s="258">
        <v>6559.4</v>
      </c>
      <c r="AI40" s="258"/>
      <c r="AJ40" s="258">
        <v>1043.5999999999999</v>
      </c>
      <c r="AK40" s="258">
        <v>4371</v>
      </c>
      <c r="AL40" s="259">
        <v>16651.8</v>
      </c>
      <c r="AM40" s="259"/>
      <c r="AN40" s="260">
        <v>2496</v>
      </c>
      <c r="AO40" s="260"/>
      <c r="AP40" s="259"/>
      <c r="AQ40" s="259"/>
      <c r="AR40" s="261">
        <f>117+146.3</f>
        <v>263.3</v>
      </c>
      <c r="AS40" s="261">
        <v>801.7</v>
      </c>
      <c r="AT40" s="259"/>
      <c r="AU40" s="259"/>
      <c r="AV40" s="259"/>
      <c r="AW40" s="259"/>
      <c r="AX40" s="259"/>
      <c r="AY40" s="259"/>
      <c r="AZ40" s="259"/>
      <c r="BA40" s="259"/>
      <c r="BB40" s="263">
        <f t="shared" si="3"/>
        <v>0</v>
      </c>
      <c r="BC40" s="259">
        <v>125</v>
      </c>
      <c r="BD40" s="264" t="s">
        <v>676</v>
      </c>
      <c r="BE40" s="264"/>
      <c r="BF40" s="264" t="s">
        <v>34</v>
      </c>
      <c r="BG40" s="265" t="s">
        <v>10</v>
      </c>
      <c r="BH40" s="265" t="s">
        <v>12</v>
      </c>
      <c r="BI40" s="265" t="s">
        <v>82</v>
      </c>
      <c r="BJ40" s="265">
        <v>2</v>
      </c>
      <c r="BK40" s="264"/>
      <c r="BL40" s="266">
        <v>1</v>
      </c>
      <c r="BM40" s="266">
        <v>1</v>
      </c>
      <c r="BN40" s="266">
        <v>1</v>
      </c>
      <c r="BO40" s="266"/>
      <c r="BP40" s="266"/>
      <c r="BQ40" s="267">
        <v>1</v>
      </c>
      <c r="BR40" s="267">
        <v>1</v>
      </c>
      <c r="BS40" s="267">
        <v>1</v>
      </c>
      <c r="BT40" s="267">
        <v>1</v>
      </c>
      <c r="BU40" s="266"/>
      <c r="BV40" s="274"/>
      <c r="BW40" s="274"/>
      <c r="BX40" s="274"/>
      <c r="BY40" s="274"/>
      <c r="BZ40" s="274"/>
      <c r="CA40" s="274"/>
      <c r="CB40" s="274"/>
      <c r="CC40" s="274"/>
      <c r="CD40" s="274"/>
      <c r="CE40" s="274"/>
      <c r="CF40" s="274"/>
      <c r="CG40" s="274"/>
      <c r="CH40" s="274"/>
      <c r="CI40" s="274"/>
      <c r="CJ40" s="274"/>
      <c r="CK40" s="287">
        <v>557</v>
      </c>
      <c r="CL40" s="287">
        <v>557</v>
      </c>
      <c r="CM40" s="281">
        <f>19.9+14.2</f>
        <v>34.099999999999994</v>
      </c>
      <c r="CN40" s="281"/>
      <c r="CO40" s="281">
        <v>13.6</v>
      </c>
      <c r="CP40" s="281">
        <v>2651.3</v>
      </c>
      <c r="CQ40" s="271" t="s">
        <v>772</v>
      </c>
    </row>
    <row r="41" spans="1:95" ht="48.05" customHeight="1" x14ac:dyDescent="0.3">
      <c r="A41" s="128">
        <v>38</v>
      </c>
      <c r="B41" s="250" t="s">
        <v>765</v>
      </c>
      <c r="C41" s="128" t="s">
        <v>459</v>
      </c>
      <c r="D41" s="233" t="s">
        <v>424</v>
      </c>
      <c r="E41" s="128" t="s">
        <v>35</v>
      </c>
      <c r="F41" s="128">
        <v>423827</v>
      </c>
      <c r="G41" s="234" t="s">
        <v>685</v>
      </c>
      <c r="H41" s="238" t="s">
        <v>692</v>
      </c>
      <c r="I41" s="128" t="s">
        <v>817</v>
      </c>
      <c r="J41" s="128">
        <v>2021</v>
      </c>
      <c r="K41" s="163">
        <v>44194</v>
      </c>
      <c r="L41" s="163">
        <v>44298</v>
      </c>
      <c r="M41" s="163"/>
      <c r="N41" s="163">
        <v>44378</v>
      </c>
      <c r="O41" s="163" t="s">
        <v>679</v>
      </c>
      <c r="P41" s="241">
        <v>11667</v>
      </c>
      <c r="Q41" s="241" t="s">
        <v>766</v>
      </c>
      <c r="R41" s="252">
        <v>19</v>
      </c>
      <c r="S41" s="252">
        <v>1</v>
      </c>
      <c r="T41" s="252" t="s">
        <v>767</v>
      </c>
      <c r="U41" s="252">
        <v>187</v>
      </c>
      <c r="V41" s="252">
        <v>187</v>
      </c>
      <c r="W41" s="252">
        <v>85</v>
      </c>
      <c r="X41" s="252">
        <v>68</v>
      </c>
      <c r="Y41" s="252">
        <v>34</v>
      </c>
      <c r="Z41" s="252"/>
      <c r="AA41" s="252"/>
      <c r="AB41" s="253">
        <v>170</v>
      </c>
      <c r="AC41" s="254">
        <f t="shared" si="1"/>
        <v>8901</v>
      </c>
      <c r="AD41" s="255">
        <v>8215.9</v>
      </c>
      <c r="AE41" s="255">
        <v>685.1</v>
      </c>
      <c r="AF41" s="255"/>
      <c r="AG41" s="255"/>
      <c r="AH41" s="258">
        <v>4265.7</v>
      </c>
      <c r="AI41" s="258"/>
      <c r="AJ41" s="258"/>
      <c r="AK41" s="258">
        <v>2414.6</v>
      </c>
      <c r="AL41" s="259">
        <v>12099.6</v>
      </c>
      <c r="AM41" s="259">
        <v>8215.9</v>
      </c>
      <c r="AN41" s="260">
        <v>994.1</v>
      </c>
      <c r="AO41" s="260">
        <v>42377</v>
      </c>
      <c r="AP41" s="259">
        <v>680</v>
      </c>
      <c r="AQ41" s="259">
        <v>680</v>
      </c>
      <c r="AR41" s="261"/>
      <c r="AS41" s="261">
        <v>687.8</v>
      </c>
      <c r="AT41" s="259">
        <v>5220</v>
      </c>
      <c r="AU41" s="259"/>
      <c r="AV41" s="259"/>
      <c r="AW41" s="259"/>
      <c r="AX41" s="259"/>
      <c r="AY41" s="259"/>
      <c r="AZ41" s="259"/>
      <c r="BA41" s="259"/>
      <c r="BB41" s="263"/>
      <c r="BC41" s="259"/>
      <c r="BD41" s="264"/>
      <c r="BE41" s="264"/>
      <c r="BF41" s="264" t="s">
        <v>34</v>
      </c>
      <c r="BG41" s="265" t="s">
        <v>10</v>
      </c>
      <c r="BH41" s="265" t="s">
        <v>12</v>
      </c>
      <c r="BI41" s="265" t="s">
        <v>82</v>
      </c>
      <c r="BJ41" s="265">
        <v>2</v>
      </c>
      <c r="BK41" s="264"/>
      <c r="BL41" s="266"/>
      <c r="BM41" s="266"/>
      <c r="BN41" s="266"/>
      <c r="BO41" s="266"/>
      <c r="BP41" s="266"/>
      <c r="BQ41" s="267"/>
      <c r="BR41" s="267"/>
      <c r="BS41" s="267"/>
      <c r="BT41" s="267"/>
      <c r="BU41" s="266"/>
      <c r="BV41" s="274"/>
      <c r="BW41" s="274"/>
      <c r="BX41" s="274"/>
      <c r="BY41" s="274"/>
      <c r="BZ41" s="274"/>
      <c r="CA41" s="274"/>
      <c r="CB41" s="274"/>
      <c r="CC41" s="274"/>
      <c r="CD41" s="274"/>
      <c r="CE41" s="274"/>
      <c r="CF41" s="274"/>
      <c r="CG41" s="274"/>
      <c r="CH41" s="274"/>
      <c r="CI41" s="274"/>
      <c r="CJ41" s="274"/>
      <c r="CK41" s="287"/>
      <c r="CL41" s="287"/>
      <c r="CM41" s="281"/>
      <c r="CN41" s="281"/>
      <c r="CO41" s="281"/>
      <c r="CP41" s="281"/>
      <c r="CQ41" s="271" t="s">
        <v>772</v>
      </c>
    </row>
    <row r="42" spans="1:95" ht="56.7" customHeight="1" x14ac:dyDescent="0.3">
      <c r="A42" s="128">
        <v>39</v>
      </c>
      <c r="B42" s="250" t="s">
        <v>866</v>
      </c>
      <c r="C42" s="128" t="s">
        <v>64</v>
      </c>
      <c r="D42" s="233" t="s">
        <v>678</v>
      </c>
      <c r="E42" s="128" t="s">
        <v>770</v>
      </c>
      <c r="F42" s="128">
        <v>423831</v>
      </c>
      <c r="G42" s="234" t="s">
        <v>688</v>
      </c>
      <c r="H42" s="240" t="s">
        <v>695</v>
      </c>
      <c r="I42" s="128" t="s">
        <v>815</v>
      </c>
      <c r="J42" s="128">
        <v>2021</v>
      </c>
      <c r="K42" s="163">
        <v>44257</v>
      </c>
      <c r="L42" s="163">
        <v>44333</v>
      </c>
      <c r="M42" s="163"/>
      <c r="N42" s="163">
        <v>44409</v>
      </c>
      <c r="O42" s="163" t="s">
        <v>585</v>
      </c>
      <c r="P42" s="241">
        <v>11877</v>
      </c>
      <c r="Q42" s="241" t="s">
        <v>705</v>
      </c>
      <c r="R42" s="252">
        <v>20</v>
      </c>
      <c r="S42" s="252">
        <v>1</v>
      </c>
      <c r="T42" s="252" t="s">
        <v>771</v>
      </c>
      <c r="U42" s="252">
        <v>254</v>
      </c>
      <c r="V42" s="252">
        <v>254</v>
      </c>
      <c r="W42" s="252"/>
      <c r="X42" s="252"/>
      <c r="Y42" s="252"/>
      <c r="Z42" s="252"/>
      <c r="AA42" s="252"/>
      <c r="AB42" s="253">
        <v>90</v>
      </c>
      <c r="AC42" s="254">
        <f t="shared" si="1"/>
        <v>8766.7000000000007</v>
      </c>
      <c r="AD42" s="255">
        <v>8766.7000000000007</v>
      </c>
      <c r="AE42" s="255">
        <v>0</v>
      </c>
      <c r="AF42" s="255"/>
      <c r="AG42" s="255"/>
      <c r="AH42" s="258">
        <v>5319.8</v>
      </c>
      <c r="AI42" s="258"/>
      <c r="AJ42" s="258"/>
      <c r="AK42" s="258">
        <v>3491.8</v>
      </c>
      <c r="AL42" s="259">
        <v>13378.6</v>
      </c>
      <c r="AM42" s="259"/>
      <c r="AN42" s="260"/>
      <c r="AO42" s="260"/>
      <c r="AP42" s="259">
        <v>792</v>
      </c>
      <c r="AQ42" s="259">
        <v>792</v>
      </c>
      <c r="AR42" s="261">
        <v>766.7</v>
      </c>
      <c r="AS42" s="261">
        <v>641.29999999999995</v>
      </c>
      <c r="AT42" s="259">
        <v>5820</v>
      </c>
      <c r="AU42" s="259"/>
      <c r="AV42" s="259"/>
      <c r="AW42" s="259"/>
      <c r="AX42" s="259"/>
      <c r="AY42" s="259"/>
      <c r="AZ42" s="259"/>
      <c r="BA42" s="259"/>
      <c r="BB42" s="263"/>
      <c r="BC42" s="259"/>
      <c r="BD42" s="264"/>
      <c r="BE42" s="264"/>
      <c r="BF42" s="264" t="s">
        <v>34</v>
      </c>
      <c r="BG42" s="265" t="s">
        <v>10</v>
      </c>
      <c r="BH42" s="265" t="s">
        <v>12</v>
      </c>
      <c r="BI42" s="265" t="s">
        <v>82</v>
      </c>
      <c r="BJ42" s="265">
        <v>2</v>
      </c>
      <c r="BK42" s="264"/>
      <c r="BL42" s="266"/>
      <c r="BM42" s="266"/>
      <c r="BN42" s="266"/>
      <c r="BO42" s="266"/>
      <c r="BP42" s="266"/>
      <c r="BQ42" s="267"/>
      <c r="BR42" s="267"/>
      <c r="BS42" s="267"/>
      <c r="BT42" s="267"/>
      <c r="BU42" s="266"/>
      <c r="BV42" s="274"/>
      <c r="BW42" s="274"/>
      <c r="BX42" s="274"/>
      <c r="BY42" s="274"/>
      <c r="BZ42" s="274"/>
      <c r="CA42" s="274"/>
      <c r="CB42" s="274"/>
      <c r="CC42" s="274"/>
      <c r="CD42" s="274"/>
      <c r="CE42" s="274"/>
      <c r="CF42" s="274"/>
      <c r="CG42" s="274"/>
      <c r="CH42" s="274"/>
      <c r="CI42" s="274"/>
      <c r="CJ42" s="274"/>
      <c r="CK42" s="287"/>
      <c r="CL42" s="287"/>
      <c r="CM42" s="281"/>
      <c r="CN42" s="281"/>
      <c r="CO42" s="281"/>
      <c r="CP42" s="281"/>
      <c r="CQ42" s="271" t="s">
        <v>772</v>
      </c>
    </row>
    <row r="43" spans="1:95" ht="55.45" customHeight="1" x14ac:dyDescent="0.3">
      <c r="A43" s="128">
        <v>40</v>
      </c>
      <c r="B43" s="250" t="s">
        <v>773</v>
      </c>
      <c r="C43" s="128" t="s">
        <v>459</v>
      </c>
      <c r="D43" s="233" t="s">
        <v>424</v>
      </c>
      <c r="E43" s="128">
        <v>13</v>
      </c>
      <c r="F43" s="128">
        <v>423827</v>
      </c>
      <c r="G43" s="234" t="s">
        <v>685</v>
      </c>
      <c r="H43" s="238" t="s">
        <v>692</v>
      </c>
      <c r="I43" s="128" t="s">
        <v>817</v>
      </c>
      <c r="J43" s="128">
        <v>2021</v>
      </c>
      <c r="K43" s="163">
        <v>44358</v>
      </c>
      <c r="L43" s="163">
        <v>44375</v>
      </c>
      <c r="M43" s="163"/>
      <c r="N43" s="163">
        <v>44440</v>
      </c>
      <c r="O43" s="163" t="s">
        <v>679</v>
      </c>
      <c r="P43" s="241"/>
      <c r="Q43" s="241" t="s">
        <v>775</v>
      </c>
      <c r="R43" s="252">
        <v>18</v>
      </c>
      <c r="S43" s="294">
        <v>1</v>
      </c>
      <c r="T43" s="294" t="s">
        <v>777</v>
      </c>
      <c r="U43" s="294">
        <v>102</v>
      </c>
      <c r="V43" s="294">
        <v>102</v>
      </c>
      <c r="W43" s="294"/>
      <c r="X43" s="294">
        <v>68</v>
      </c>
      <c r="Y43" s="294">
        <v>34</v>
      </c>
      <c r="Z43" s="294"/>
      <c r="AA43" s="294"/>
      <c r="AB43" s="295">
        <v>101</v>
      </c>
      <c r="AC43" s="254">
        <f t="shared" si="1"/>
        <v>5529.2999999999993</v>
      </c>
      <c r="AD43" s="296">
        <v>5217.8999999999996</v>
      </c>
      <c r="AE43" s="296">
        <v>311.39999999999998</v>
      </c>
      <c r="AF43" s="296"/>
      <c r="AG43" s="296">
        <v>311.39999999999998</v>
      </c>
      <c r="AH43" s="297">
        <v>3006.1</v>
      </c>
      <c r="AI43" s="297"/>
      <c r="AJ43" s="297"/>
      <c r="AK43" s="297">
        <v>1670.4</v>
      </c>
      <c r="AL43" s="298"/>
      <c r="AM43" s="298"/>
      <c r="AN43" s="299"/>
      <c r="AO43" s="299"/>
      <c r="AP43" s="298">
        <v>490</v>
      </c>
      <c r="AQ43" s="298">
        <v>490</v>
      </c>
      <c r="AR43" s="300"/>
      <c r="AS43" s="300">
        <v>366.3</v>
      </c>
      <c r="AT43" s="298"/>
      <c r="AU43" s="298"/>
      <c r="AV43" s="298"/>
      <c r="AW43" s="298"/>
      <c r="AX43" s="298"/>
      <c r="AY43" s="298"/>
      <c r="AZ43" s="298"/>
      <c r="BA43" s="298"/>
      <c r="BB43" s="301"/>
      <c r="BC43" s="298"/>
      <c r="BD43" s="302"/>
      <c r="BE43" s="302"/>
      <c r="BF43" s="264" t="s">
        <v>34</v>
      </c>
      <c r="BG43" s="265" t="s">
        <v>10</v>
      </c>
      <c r="BH43" s="265" t="s">
        <v>12</v>
      </c>
      <c r="BI43" s="265" t="s">
        <v>82</v>
      </c>
      <c r="BJ43" s="303">
        <v>2</v>
      </c>
      <c r="BK43" s="302"/>
      <c r="BL43" s="304"/>
      <c r="BM43" s="304"/>
      <c r="BN43" s="304"/>
      <c r="BO43" s="304"/>
      <c r="BP43" s="304"/>
      <c r="BQ43" s="305"/>
      <c r="BR43" s="305"/>
      <c r="BS43" s="305"/>
      <c r="BT43" s="305"/>
      <c r="BU43" s="304"/>
      <c r="BV43" s="306"/>
      <c r="BW43" s="306"/>
      <c r="BX43" s="306"/>
      <c r="BY43" s="306"/>
      <c r="BZ43" s="306"/>
      <c r="CA43" s="306"/>
      <c r="CB43" s="306"/>
      <c r="CC43" s="306"/>
      <c r="CD43" s="306"/>
      <c r="CE43" s="306"/>
      <c r="CF43" s="306"/>
      <c r="CG43" s="306"/>
      <c r="CH43" s="306"/>
      <c r="CI43" s="306"/>
      <c r="CJ43" s="306"/>
      <c r="CK43" s="307"/>
      <c r="CL43" s="307"/>
      <c r="CM43" s="308"/>
      <c r="CN43" s="308"/>
      <c r="CO43" s="308"/>
      <c r="CP43" s="308"/>
      <c r="CQ43" s="271" t="s">
        <v>772</v>
      </c>
    </row>
    <row r="44" spans="1:95" ht="49.3" customHeight="1" x14ac:dyDescent="0.3">
      <c r="A44" s="128">
        <v>41</v>
      </c>
      <c r="B44" s="250" t="s">
        <v>819</v>
      </c>
      <c r="C44" s="128" t="s">
        <v>64</v>
      </c>
      <c r="D44" s="233" t="s">
        <v>617</v>
      </c>
      <c r="E44" s="128" t="s">
        <v>820</v>
      </c>
      <c r="F44" s="128">
        <v>423838</v>
      </c>
      <c r="G44" s="234" t="s">
        <v>689</v>
      </c>
      <c r="H44" s="235" t="s">
        <v>755</v>
      </c>
      <c r="I44" s="128" t="s">
        <v>815</v>
      </c>
      <c r="J44" s="128">
        <v>2021</v>
      </c>
      <c r="K44" s="163">
        <v>44427</v>
      </c>
      <c r="L44" s="163">
        <v>44431</v>
      </c>
      <c r="M44" s="163"/>
      <c r="N44" s="163">
        <v>44501</v>
      </c>
      <c r="O44" s="163" t="s">
        <v>585</v>
      </c>
      <c r="P44" s="241"/>
      <c r="Q44" s="241" t="s">
        <v>759</v>
      </c>
      <c r="R44" s="252">
        <v>19</v>
      </c>
      <c r="S44" s="294">
        <v>2</v>
      </c>
      <c r="T44" s="294" t="s">
        <v>821</v>
      </c>
      <c r="U44" s="294">
        <v>340</v>
      </c>
      <c r="V44" s="294"/>
      <c r="W44" s="294">
        <v>196</v>
      </c>
      <c r="X44" s="294">
        <v>108</v>
      </c>
      <c r="Y44" s="294">
        <v>36</v>
      </c>
      <c r="Z44" s="294"/>
      <c r="AA44" s="294"/>
      <c r="AB44" s="295">
        <v>73</v>
      </c>
      <c r="AC44" s="254">
        <f t="shared" si="1"/>
        <v>11278.8</v>
      </c>
      <c r="AD44" s="309">
        <v>11278.8</v>
      </c>
      <c r="AE44" s="296"/>
      <c r="AF44" s="296"/>
      <c r="AG44" s="296"/>
      <c r="AH44" s="297">
        <v>6139.7</v>
      </c>
      <c r="AI44" s="297"/>
      <c r="AJ44" s="297"/>
      <c r="AK44" s="297">
        <v>4307</v>
      </c>
      <c r="AL44" s="298"/>
      <c r="AM44" s="298">
        <v>20845</v>
      </c>
      <c r="AN44" s="299"/>
      <c r="AO44" s="299"/>
      <c r="AP44" s="298"/>
      <c r="AQ44" s="298"/>
      <c r="AR44" s="300"/>
      <c r="AS44" s="300"/>
      <c r="AT44" s="298"/>
      <c r="AU44" s="298"/>
      <c r="AV44" s="298"/>
      <c r="AW44" s="298"/>
      <c r="AX44" s="298"/>
      <c r="AY44" s="298"/>
      <c r="AZ44" s="298"/>
      <c r="BA44" s="298"/>
      <c r="BB44" s="301"/>
      <c r="BC44" s="298"/>
      <c r="BD44" s="302"/>
      <c r="BE44" s="302"/>
      <c r="BF44" s="264" t="s">
        <v>34</v>
      </c>
      <c r="BG44" s="265" t="s">
        <v>10</v>
      </c>
      <c r="BH44" s="265" t="s">
        <v>12</v>
      </c>
      <c r="BI44" s="265" t="s">
        <v>82</v>
      </c>
      <c r="BJ44" s="303">
        <v>2</v>
      </c>
      <c r="BK44" s="302"/>
      <c r="BL44" s="304"/>
      <c r="BM44" s="304"/>
      <c r="BN44" s="304"/>
      <c r="BO44" s="304"/>
      <c r="BP44" s="304"/>
      <c r="BQ44" s="305"/>
      <c r="BR44" s="305"/>
      <c r="BS44" s="305"/>
      <c r="BT44" s="305"/>
      <c r="BU44" s="304"/>
      <c r="BV44" s="306"/>
      <c r="BW44" s="306"/>
      <c r="BX44" s="306"/>
      <c r="BY44" s="306"/>
      <c r="BZ44" s="306"/>
      <c r="CA44" s="306"/>
      <c r="CB44" s="306"/>
      <c r="CC44" s="306"/>
      <c r="CD44" s="306"/>
      <c r="CE44" s="306"/>
      <c r="CF44" s="306"/>
      <c r="CG44" s="306"/>
      <c r="CH44" s="306"/>
      <c r="CI44" s="306"/>
      <c r="CJ44" s="306"/>
      <c r="CK44" s="307"/>
      <c r="CL44" s="307"/>
      <c r="CM44" s="308"/>
      <c r="CN44" s="308"/>
      <c r="CO44" s="308"/>
      <c r="CP44" s="308"/>
      <c r="CQ44" s="271" t="s">
        <v>772</v>
      </c>
    </row>
    <row r="45" spans="1:95" ht="49.3" customHeight="1" x14ac:dyDescent="0.3">
      <c r="A45" s="128">
        <v>42</v>
      </c>
      <c r="B45" s="250" t="s">
        <v>774</v>
      </c>
      <c r="C45" s="128" t="s">
        <v>64</v>
      </c>
      <c r="D45" s="233" t="s">
        <v>678</v>
      </c>
      <c r="E45" s="128" t="s">
        <v>778</v>
      </c>
      <c r="F45" s="128">
        <v>423831</v>
      </c>
      <c r="G45" s="234" t="s">
        <v>688</v>
      </c>
      <c r="H45" s="240" t="s">
        <v>695</v>
      </c>
      <c r="I45" s="128" t="s">
        <v>815</v>
      </c>
      <c r="J45" s="128">
        <v>2021</v>
      </c>
      <c r="K45" s="163">
        <v>44435</v>
      </c>
      <c r="L45" s="163">
        <v>44435</v>
      </c>
      <c r="M45" s="163"/>
      <c r="N45" s="163">
        <v>44531</v>
      </c>
      <c r="O45" s="163" t="s">
        <v>585</v>
      </c>
      <c r="P45" s="241"/>
      <c r="Q45" s="241" t="s">
        <v>705</v>
      </c>
      <c r="R45" s="252">
        <v>21</v>
      </c>
      <c r="S45" s="294">
        <v>1</v>
      </c>
      <c r="T45" s="294" t="s">
        <v>776</v>
      </c>
      <c r="U45" s="294">
        <v>266</v>
      </c>
      <c r="V45" s="294"/>
      <c r="W45" s="294">
        <v>133</v>
      </c>
      <c r="X45" s="294">
        <v>133</v>
      </c>
      <c r="Y45" s="294"/>
      <c r="Z45" s="294"/>
      <c r="AA45" s="294"/>
      <c r="AB45" s="295">
        <v>29</v>
      </c>
      <c r="AC45" s="254">
        <f t="shared" si="1"/>
        <v>8725.9</v>
      </c>
      <c r="AD45" s="296">
        <v>8725.9</v>
      </c>
      <c r="AE45" s="296"/>
      <c r="AF45" s="296"/>
      <c r="AG45" s="296"/>
      <c r="AH45" s="297">
        <v>5359</v>
      </c>
      <c r="AI45" s="297"/>
      <c r="AJ45" s="297"/>
      <c r="AK45" s="297">
        <v>3593.1</v>
      </c>
      <c r="AL45" s="298">
        <v>15700.7</v>
      </c>
      <c r="AM45" s="298">
        <v>15700.7</v>
      </c>
      <c r="AN45" s="299"/>
      <c r="AO45" s="299"/>
      <c r="AP45" s="298"/>
      <c r="AQ45" s="298"/>
      <c r="AR45" s="300"/>
      <c r="AS45" s="300"/>
      <c r="AT45" s="298"/>
      <c r="AU45" s="298"/>
      <c r="AV45" s="298"/>
      <c r="AW45" s="298"/>
      <c r="AX45" s="298"/>
      <c r="AY45" s="298"/>
      <c r="AZ45" s="298"/>
      <c r="BA45" s="298"/>
      <c r="BB45" s="301"/>
      <c r="BC45" s="298"/>
      <c r="BD45" s="302"/>
      <c r="BE45" s="302"/>
      <c r="BF45" s="264" t="s">
        <v>34</v>
      </c>
      <c r="BG45" s="265" t="s">
        <v>10</v>
      </c>
      <c r="BH45" s="265" t="s">
        <v>12</v>
      </c>
      <c r="BI45" s="265" t="s">
        <v>82</v>
      </c>
      <c r="BJ45" s="303">
        <v>2</v>
      </c>
      <c r="BK45" s="302"/>
      <c r="BL45" s="304"/>
      <c r="BM45" s="304"/>
      <c r="BN45" s="304"/>
      <c r="BO45" s="304"/>
      <c r="BP45" s="304"/>
      <c r="BQ45" s="305"/>
      <c r="BR45" s="305"/>
      <c r="BS45" s="305"/>
      <c r="BT45" s="305"/>
      <c r="BU45" s="304"/>
      <c r="BV45" s="306"/>
      <c r="BW45" s="306"/>
      <c r="BX45" s="306"/>
      <c r="BY45" s="306"/>
      <c r="BZ45" s="306"/>
      <c r="CA45" s="306"/>
      <c r="CB45" s="306"/>
      <c r="CC45" s="306"/>
      <c r="CD45" s="306"/>
      <c r="CE45" s="306"/>
      <c r="CF45" s="306"/>
      <c r="CG45" s="306"/>
      <c r="CH45" s="306"/>
      <c r="CI45" s="306"/>
      <c r="CJ45" s="306"/>
      <c r="CK45" s="307"/>
      <c r="CL45" s="307"/>
      <c r="CM45" s="308"/>
      <c r="CN45" s="308"/>
      <c r="CO45" s="308"/>
      <c r="CP45" s="308"/>
      <c r="CQ45" s="271" t="s">
        <v>772</v>
      </c>
    </row>
    <row r="46" spans="1:95" ht="49.3" customHeight="1" x14ac:dyDescent="0.3">
      <c r="A46" s="128">
        <v>43</v>
      </c>
      <c r="B46" s="250" t="s">
        <v>822</v>
      </c>
      <c r="C46" s="128" t="s">
        <v>459</v>
      </c>
      <c r="D46" s="233" t="s">
        <v>424</v>
      </c>
      <c r="E46" s="128">
        <v>15</v>
      </c>
      <c r="F46" s="128">
        <v>423827</v>
      </c>
      <c r="G46" s="234" t="s">
        <v>685</v>
      </c>
      <c r="H46" s="238" t="s">
        <v>692</v>
      </c>
      <c r="I46" s="128" t="s">
        <v>817</v>
      </c>
      <c r="J46" s="128">
        <v>2021</v>
      </c>
      <c r="K46" s="163">
        <v>44445</v>
      </c>
      <c r="L46" s="163"/>
      <c r="M46" s="163"/>
      <c r="N46" s="163">
        <v>44562</v>
      </c>
      <c r="O46" s="163" t="s">
        <v>679</v>
      </c>
      <c r="P46" s="241"/>
      <c r="Q46" s="241" t="s">
        <v>861</v>
      </c>
      <c r="R46" s="252">
        <v>18</v>
      </c>
      <c r="S46" s="294">
        <v>1</v>
      </c>
      <c r="T46" s="294">
        <v>238</v>
      </c>
      <c r="U46" s="294">
        <v>238</v>
      </c>
      <c r="V46" s="294"/>
      <c r="W46" s="294"/>
      <c r="X46" s="294"/>
      <c r="Y46" s="294"/>
      <c r="Z46" s="294"/>
      <c r="AA46" s="294"/>
      <c r="AB46" s="310"/>
      <c r="AC46" s="254">
        <f t="shared" si="1"/>
        <v>8354.2000000000007</v>
      </c>
      <c r="AD46" s="309">
        <v>7788.5</v>
      </c>
      <c r="AE46" s="296">
        <v>565.70000000000005</v>
      </c>
      <c r="AF46" s="296"/>
      <c r="AG46" s="296">
        <v>565.70000000000005</v>
      </c>
      <c r="AH46" s="297">
        <v>4796.6000000000004</v>
      </c>
      <c r="AI46" s="297"/>
      <c r="AJ46" s="297"/>
      <c r="AK46" s="297">
        <v>2899.1</v>
      </c>
      <c r="AL46" s="298">
        <v>15070.2</v>
      </c>
      <c r="AM46" s="298"/>
      <c r="AN46" s="299"/>
      <c r="AO46" s="299"/>
      <c r="AP46" s="298"/>
      <c r="AQ46" s="298"/>
      <c r="AR46" s="300"/>
      <c r="AS46" s="300"/>
      <c r="AT46" s="298"/>
      <c r="AU46" s="298"/>
      <c r="AV46" s="298"/>
      <c r="AW46" s="298"/>
      <c r="AX46" s="298"/>
      <c r="AY46" s="298"/>
      <c r="AZ46" s="298"/>
      <c r="BA46" s="298"/>
      <c r="BB46" s="301"/>
      <c r="BC46" s="298"/>
      <c r="BD46" s="302"/>
      <c r="BE46" s="302"/>
      <c r="BF46" s="264"/>
      <c r="BG46" s="265" t="s">
        <v>10</v>
      </c>
      <c r="BH46" s="265" t="s">
        <v>12</v>
      </c>
      <c r="BI46" s="265" t="s">
        <v>82</v>
      </c>
      <c r="BJ46" s="303">
        <v>2</v>
      </c>
      <c r="BK46" s="302"/>
      <c r="BL46" s="304"/>
      <c r="BM46" s="304"/>
      <c r="BN46" s="304"/>
      <c r="BO46" s="304"/>
      <c r="BP46" s="304"/>
      <c r="BQ46" s="305"/>
      <c r="BR46" s="305"/>
      <c r="BS46" s="305"/>
      <c r="BT46" s="305"/>
      <c r="BU46" s="304"/>
      <c r="BV46" s="306"/>
      <c r="BW46" s="306"/>
      <c r="BX46" s="306"/>
      <c r="BY46" s="306"/>
      <c r="BZ46" s="306"/>
      <c r="CA46" s="306"/>
      <c r="CB46" s="306"/>
      <c r="CC46" s="306"/>
      <c r="CD46" s="306"/>
      <c r="CE46" s="306"/>
      <c r="CF46" s="306"/>
      <c r="CG46" s="306"/>
      <c r="CH46" s="306"/>
      <c r="CI46" s="306"/>
      <c r="CJ46" s="306"/>
      <c r="CK46" s="307"/>
      <c r="CL46" s="307"/>
      <c r="CM46" s="308"/>
      <c r="CN46" s="308"/>
      <c r="CO46" s="308"/>
      <c r="CP46" s="308"/>
      <c r="CQ46" s="271" t="s">
        <v>772</v>
      </c>
    </row>
    <row r="47" spans="1:95" ht="40.4" customHeight="1" x14ac:dyDescent="0.3">
      <c r="U47" s="139"/>
    </row>
    <row r="48" spans="1:95" ht="40.4" customHeight="1" x14ac:dyDescent="0.3">
      <c r="U48" s="139"/>
    </row>
    <row r="49" spans="21:29" ht="40.4" customHeight="1" x14ac:dyDescent="0.3">
      <c r="U49" s="139"/>
    </row>
    <row r="50" spans="21:29" ht="40.4" customHeight="1" x14ac:dyDescent="0.3">
      <c r="U50" s="139"/>
    </row>
    <row r="51" spans="21:29" ht="40.4" customHeight="1" x14ac:dyDescent="0.3">
      <c r="U51" s="139"/>
    </row>
    <row r="52" spans="21:29" ht="40.4" customHeight="1" x14ac:dyDescent="0.3">
      <c r="U52" s="139"/>
    </row>
    <row r="53" spans="21:29" ht="40.4" customHeight="1" x14ac:dyDescent="0.3">
      <c r="U53" s="139"/>
    </row>
    <row r="54" spans="21:29" ht="40.4" customHeight="1" x14ac:dyDescent="0.3">
      <c r="U54" s="139"/>
    </row>
    <row r="55" spans="21:29" ht="40.4" customHeight="1" x14ac:dyDescent="0.3">
      <c r="U55" s="139"/>
    </row>
    <row r="56" spans="21:29" ht="40.4" customHeight="1" x14ac:dyDescent="0.3">
      <c r="U56" s="139"/>
    </row>
    <row r="57" spans="21:29" ht="40.4" customHeight="1" x14ac:dyDescent="0.3">
      <c r="U57" s="199"/>
      <c r="AC57" s="191"/>
    </row>
  </sheetData>
  <autoFilter ref="A3:CQ3"/>
  <sortState ref="A4:CQ46">
    <sortCondition ref="K4:K46"/>
  </sortState>
  <mergeCells count="79">
    <mergeCell ref="CP2:CP3"/>
    <mergeCell ref="CG2:CJ2"/>
    <mergeCell ref="CK2:CK3"/>
    <mergeCell ref="CL2:CL3"/>
    <mergeCell ref="CM2:CM3"/>
    <mergeCell ref="CN2:CN3"/>
    <mergeCell ref="CO2:CO3"/>
    <mergeCell ref="CF2:CF3"/>
    <mergeCell ref="BL2:BP2"/>
    <mergeCell ref="BV2:BV3"/>
    <mergeCell ref="BW2:BW3"/>
    <mergeCell ref="BX2:BX3"/>
    <mergeCell ref="BY2:BY3"/>
    <mergeCell ref="BZ2:BZ3"/>
    <mergeCell ref="CA2:CA3"/>
    <mergeCell ref="CB2:CB3"/>
    <mergeCell ref="CC2:CC3"/>
    <mergeCell ref="CD2:CD3"/>
    <mergeCell ref="CE2:CE3"/>
    <mergeCell ref="BJ2:BK2"/>
    <mergeCell ref="AY2:AY3"/>
    <mergeCell ref="AZ2:AZ3"/>
    <mergeCell ref="BA2:BA3"/>
    <mergeCell ref="BB2:BB3"/>
    <mergeCell ref="BC2:BC3"/>
    <mergeCell ref="BD2:BD3"/>
    <mergeCell ref="BE2:BE3"/>
    <mergeCell ref="BF2:BF3"/>
    <mergeCell ref="BG2:BG3"/>
    <mergeCell ref="BH2:BH3"/>
    <mergeCell ref="BI2:BI3"/>
    <mergeCell ref="AX2:AX3"/>
    <mergeCell ref="AM2:AM3"/>
    <mergeCell ref="AN2:AN3"/>
    <mergeCell ref="AO2:AO3"/>
    <mergeCell ref="AP2:AP3"/>
    <mergeCell ref="AQ2:AQ3"/>
    <mergeCell ref="AR2:AR3"/>
    <mergeCell ref="AS2:AS3"/>
    <mergeCell ref="AT2:AT3"/>
    <mergeCell ref="AU2:AU3"/>
    <mergeCell ref="AV2:AV3"/>
    <mergeCell ref="AW2:AW3"/>
    <mergeCell ref="AL2:AL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Z2:Z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N2:N3"/>
    <mergeCell ref="A2:A3"/>
    <mergeCell ref="B2:B3"/>
    <mergeCell ref="C2:C3"/>
    <mergeCell ref="D2:F2"/>
    <mergeCell ref="G2:G3"/>
    <mergeCell ref="H2:H3"/>
    <mergeCell ref="I2:I3"/>
    <mergeCell ref="J2:J3"/>
    <mergeCell ref="K2:K3"/>
    <mergeCell ref="L2:L3"/>
    <mergeCell ref="M2:M3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34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T57"/>
  <sheetViews>
    <sheetView view="pageBreakPreview" zoomScale="60" zoomScaleNormal="55" workbookViewId="0">
      <pane xSplit="2" ySplit="2" topLeftCell="C3" activePane="bottomRight" state="frozen"/>
      <selection activeCell="I14" sqref="I14"/>
      <selection pane="topRight" activeCell="I14" sqref="I14"/>
      <selection pane="bottomLeft" activeCell="I14" sqref="I14"/>
      <selection pane="bottomRight" activeCell="I14" sqref="I14"/>
    </sheetView>
  </sheetViews>
  <sheetFormatPr defaultColWidth="9.33203125" defaultRowHeight="34.15" customHeight="1" x14ac:dyDescent="0.3"/>
  <cols>
    <col min="1" max="1" width="7.44140625" style="135" customWidth="1"/>
    <col min="2" max="2" width="27.6640625" style="137" customWidth="1"/>
    <col min="3" max="10" width="14.44140625" style="201" customWidth="1"/>
    <col min="12" max="16384" width="9.33203125" style="201"/>
  </cols>
  <sheetData>
    <row r="1" spans="1:98" ht="34.15" customHeight="1" x14ac:dyDescent="0.3">
      <c r="A1" s="226" t="s">
        <v>662</v>
      </c>
      <c r="B1" s="140"/>
      <c r="C1" s="141"/>
      <c r="D1" s="141"/>
      <c r="E1" s="141"/>
      <c r="F1" s="141"/>
      <c r="G1" s="141"/>
      <c r="H1" s="141"/>
      <c r="I1" s="141"/>
      <c r="J1" s="141"/>
    </row>
    <row r="2" spans="1:98" s="200" customFormat="1" ht="34.15" customHeight="1" x14ac:dyDescent="0.3">
      <c r="A2" s="247" t="s">
        <v>76</v>
      </c>
      <c r="B2" s="247" t="s">
        <v>666</v>
      </c>
      <c r="C2" s="325" t="s">
        <v>868</v>
      </c>
      <c r="D2" s="325" t="s">
        <v>869</v>
      </c>
      <c r="E2" s="325" t="s">
        <v>870</v>
      </c>
      <c r="F2" s="325" t="s">
        <v>871</v>
      </c>
      <c r="G2" s="325" t="s">
        <v>872</v>
      </c>
      <c r="H2" s="325" t="s">
        <v>875</v>
      </c>
      <c r="I2" s="325" t="s">
        <v>874</v>
      </c>
      <c r="J2" s="325" t="s">
        <v>873</v>
      </c>
    </row>
    <row r="3" spans="1:98" customFormat="1" ht="34.15" customHeight="1" x14ac:dyDescent="0.3">
      <c r="A3" s="128">
        <v>17</v>
      </c>
      <c r="B3" s="192" t="s">
        <v>638</v>
      </c>
      <c r="C3" s="327">
        <v>1</v>
      </c>
      <c r="D3" s="327"/>
      <c r="E3" s="328">
        <v>4</v>
      </c>
      <c r="F3" s="328">
        <v>17</v>
      </c>
      <c r="G3" s="328">
        <v>151</v>
      </c>
      <c r="H3" s="328">
        <v>6</v>
      </c>
      <c r="I3" s="328">
        <v>72</v>
      </c>
      <c r="J3" s="326">
        <v>13</v>
      </c>
      <c r="K3" s="340">
        <f t="shared" ref="K3:K45" si="0">SUM(C3:J3)</f>
        <v>264</v>
      </c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  <c r="AM3" s="201"/>
      <c r="AN3" s="201"/>
      <c r="AO3" s="201"/>
      <c r="AP3" s="201"/>
      <c r="AQ3" s="201"/>
      <c r="AR3" s="201"/>
      <c r="AS3" s="201"/>
      <c r="AT3" s="201"/>
      <c r="AU3" s="201"/>
      <c r="AV3" s="201"/>
      <c r="AW3" s="201"/>
      <c r="AX3" s="201"/>
      <c r="AY3" s="201"/>
      <c r="AZ3" s="201"/>
      <c r="BA3" s="201"/>
      <c r="BB3" s="201"/>
      <c r="BC3" s="201"/>
      <c r="BD3" s="201"/>
      <c r="BE3" s="201"/>
      <c r="BF3" s="201"/>
      <c r="BG3" s="201"/>
      <c r="BH3" s="201"/>
      <c r="BI3" s="201"/>
      <c r="BJ3" s="201"/>
      <c r="BK3" s="201"/>
      <c r="BL3" s="201"/>
      <c r="BM3" s="201"/>
      <c r="BN3" s="201"/>
      <c r="BO3" s="201"/>
      <c r="BP3" s="201"/>
      <c r="BQ3" s="201"/>
      <c r="BR3" s="201"/>
      <c r="BS3" s="201"/>
      <c r="BT3" s="201"/>
      <c r="BU3" s="201"/>
      <c r="BV3" s="201"/>
      <c r="BW3" s="201"/>
      <c r="BX3" s="201"/>
      <c r="BY3" s="201"/>
      <c r="BZ3" s="201"/>
      <c r="CA3" s="201"/>
      <c r="CB3" s="201"/>
      <c r="CC3" s="201"/>
      <c r="CD3" s="201"/>
      <c r="CE3" s="201"/>
      <c r="CF3" s="201"/>
      <c r="CG3" s="201"/>
      <c r="CH3" s="201"/>
      <c r="CI3" s="201"/>
      <c r="CJ3" s="201"/>
      <c r="CK3" s="201"/>
      <c r="CL3" s="201"/>
      <c r="CM3" s="201"/>
      <c r="CN3" s="201"/>
      <c r="CO3" s="201"/>
      <c r="CP3" s="201"/>
      <c r="CQ3" s="201"/>
      <c r="CR3" s="201"/>
      <c r="CS3" s="201"/>
      <c r="CT3" s="201"/>
    </row>
    <row r="4" spans="1:98" customFormat="1" ht="34.15" customHeight="1" x14ac:dyDescent="0.3">
      <c r="A4" s="128">
        <v>41</v>
      </c>
      <c r="B4" s="192" t="s">
        <v>422</v>
      </c>
      <c r="C4" s="326"/>
      <c r="D4" s="326">
        <v>42</v>
      </c>
      <c r="E4" s="326">
        <v>5</v>
      </c>
      <c r="F4" s="326">
        <v>13</v>
      </c>
      <c r="G4" s="326">
        <v>59</v>
      </c>
      <c r="H4" s="326">
        <v>4</v>
      </c>
      <c r="I4" s="326">
        <v>82</v>
      </c>
      <c r="J4" s="328">
        <v>7</v>
      </c>
      <c r="K4" s="340">
        <f t="shared" si="0"/>
        <v>212</v>
      </c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201"/>
      <c r="AD4" s="201"/>
      <c r="AE4" s="201"/>
      <c r="AF4" s="201"/>
      <c r="AG4" s="201"/>
      <c r="AH4" s="201"/>
      <c r="AI4" s="201"/>
      <c r="AJ4" s="201"/>
      <c r="AK4" s="201"/>
      <c r="AL4" s="201"/>
      <c r="AM4" s="201"/>
      <c r="AN4" s="201"/>
      <c r="AO4" s="201"/>
      <c r="AP4" s="201"/>
      <c r="AQ4" s="201"/>
      <c r="AR4" s="201"/>
      <c r="AS4" s="201"/>
      <c r="AT4" s="201"/>
      <c r="AU4" s="201"/>
      <c r="AV4" s="201"/>
      <c r="AW4" s="201"/>
      <c r="AX4" s="201"/>
      <c r="AY4" s="201"/>
      <c r="AZ4" s="201"/>
      <c r="BA4" s="201"/>
      <c r="BB4" s="201"/>
      <c r="BC4" s="201"/>
      <c r="BD4" s="201"/>
      <c r="BE4" s="201"/>
      <c r="BF4" s="201"/>
      <c r="BG4" s="201"/>
      <c r="BH4" s="201"/>
      <c r="BI4" s="201"/>
      <c r="BJ4" s="201"/>
      <c r="BK4" s="201"/>
      <c r="BL4" s="201"/>
      <c r="BM4" s="201"/>
      <c r="BN4" s="201"/>
      <c r="BO4" s="201"/>
      <c r="BP4" s="201"/>
      <c r="BQ4" s="201"/>
      <c r="BR4" s="201"/>
      <c r="BS4" s="201"/>
      <c r="BT4" s="201"/>
      <c r="BU4" s="201"/>
      <c r="BV4" s="201"/>
      <c r="BW4" s="201"/>
      <c r="BX4" s="201"/>
      <c r="BY4" s="201"/>
      <c r="BZ4" s="201"/>
      <c r="CA4" s="201"/>
      <c r="CB4" s="201"/>
      <c r="CC4" s="201"/>
      <c r="CD4" s="201"/>
      <c r="CE4" s="201"/>
      <c r="CF4" s="201"/>
      <c r="CG4" s="201"/>
      <c r="CH4" s="201"/>
      <c r="CI4" s="201"/>
      <c r="CJ4" s="201"/>
      <c r="CK4" s="201"/>
      <c r="CL4" s="201"/>
      <c r="CM4" s="201"/>
      <c r="CN4" s="201"/>
      <c r="CO4" s="201"/>
      <c r="CP4" s="201"/>
      <c r="CQ4" s="201"/>
      <c r="CR4" s="201"/>
      <c r="CS4" s="201"/>
      <c r="CT4" s="201"/>
    </row>
    <row r="5" spans="1:98" customFormat="1" ht="34.15" customHeight="1" x14ac:dyDescent="0.3">
      <c r="A5" s="128">
        <v>40</v>
      </c>
      <c r="B5" s="192" t="s">
        <v>412</v>
      </c>
      <c r="C5" s="326"/>
      <c r="D5" s="326">
        <v>33</v>
      </c>
      <c r="E5" s="326">
        <v>1</v>
      </c>
      <c r="F5" s="326">
        <v>8</v>
      </c>
      <c r="G5" s="328">
        <v>64</v>
      </c>
      <c r="H5" s="326">
        <v>1</v>
      </c>
      <c r="I5" s="326">
        <v>91</v>
      </c>
      <c r="J5" s="328">
        <v>4</v>
      </c>
      <c r="K5" s="340">
        <f t="shared" si="0"/>
        <v>202</v>
      </c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1"/>
      <c r="AJ5" s="201"/>
      <c r="AK5" s="201"/>
      <c r="AL5" s="201"/>
      <c r="AM5" s="201"/>
      <c r="AN5" s="201"/>
      <c r="AO5" s="201"/>
      <c r="AP5" s="201"/>
      <c r="AQ5" s="201"/>
      <c r="AR5" s="201"/>
      <c r="AS5" s="201"/>
      <c r="AT5" s="201"/>
      <c r="AU5" s="201"/>
      <c r="AV5" s="201"/>
      <c r="AW5" s="201"/>
      <c r="AX5" s="201"/>
      <c r="AY5" s="201"/>
      <c r="AZ5" s="201"/>
      <c r="BA5" s="201"/>
      <c r="BB5" s="201"/>
      <c r="BC5" s="201"/>
      <c r="BD5" s="201"/>
      <c r="BE5" s="201"/>
      <c r="BF5" s="201"/>
      <c r="BG5" s="201"/>
      <c r="BH5" s="201"/>
      <c r="BI5" s="201"/>
      <c r="BJ5" s="201"/>
      <c r="BK5" s="201"/>
      <c r="BL5" s="201"/>
      <c r="BM5" s="201"/>
      <c r="BN5" s="201"/>
      <c r="BO5" s="201"/>
      <c r="BP5" s="201"/>
      <c r="BQ5" s="201"/>
      <c r="BR5" s="201"/>
      <c r="BS5" s="201"/>
      <c r="BT5" s="201"/>
      <c r="BU5" s="201"/>
      <c r="BV5" s="201"/>
      <c r="BW5" s="201"/>
      <c r="BX5" s="201"/>
      <c r="BY5" s="201"/>
      <c r="BZ5" s="201"/>
      <c r="CA5" s="201"/>
      <c r="CB5" s="201"/>
      <c r="CC5" s="201"/>
      <c r="CD5" s="201"/>
      <c r="CE5" s="201"/>
      <c r="CF5" s="201"/>
      <c r="CG5" s="201"/>
      <c r="CH5" s="201"/>
      <c r="CI5" s="201"/>
      <c r="CJ5" s="201"/>
      <c r="CK5" s="201"/>
      <c r="CL5" s="201"/>
      <c r="CM5" s="201"/>
      <c r="CN5" s="201"/>
      <c r="CO5" s="201"/>
      <c r="CP5" s="201"/>
      <c r="CQ5" s="201"/>
      <c r="CR5" s="201"/>
      <c r="CS5" s="201"/>
      <c r="CT5" s="201"/>
    </row>
    <row r="6" spans="1:98" customFormat="1" ht="34.15" customHeight="1" x14ac:dyDescent="0.3">
      <c r="A6" s="128">
        <v>5</v>
      </c>
      <c r="B6" s="192" t="s">
        <v>369</v>
      </c>
      <c r="C6" s="326">
        <v>2</v>
      </c>
      <c r="D6" s="326"/>
      <c r="E6" s="326">
        <v>2</v>
      </c>
      <c r="F6" s="326">
        <v>94</v>
      </c>
      <c r="G6" s="326">
        <v>32</v>
      </c>
      <c r="H6" s="326">
        <v>1</v>
      </c>
      <c r="I6" s="326">
        <v>51</v>
      </c>
      <c r="J6" s="326">
        <v>3</v>
      </c>
      <c r="K6" s="340">
        <f t="shared" si="0"/>
        <v>185</v>
      </c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P6" s="201"/>
      <c r="AQ6" s="201"/>
      <c r="AR6" s="201"/>
      <c r="AS6" s="201"/>
      <c r="AT6" s="201"/>
      <c r="AU6" s="201"/>
      <c r="AV6" s="201"/>
      <c r="AW6" s="201"/>
      <c r="AX6" s="201"/>
      <c r="AY6" s="201"/>
      <c r="AZ6" s="201"/>
      <c r="BA6" s="201"/>
      <c r="BB6" s="201"/>
      <c r="BC6" s="201"/>
      <c r="BD6" s="201"/>
      <c r="BE6" s="201"/>
      <c r="BF6" s="201"/>
      <c r="BG6" s="201"/>
      <c r="BH6" s="201"/>
      <c r="BI6" s="201"/>
      <c r="BJ6" s="201"/>
      <c r="BK6" s="201"/>
      <c r="BL6" s="201"/>
      <c r="BM6" s="201"/>
      <c r="BN6" s="201"/>
      <c r="BO6" s="201"/>
      <c r="BP6" s="201"/>
      <c r="BQ6" s="201"/>
      <c r="BR6" s="201"/>
      <c r="BS6" s="201"/>
      <c r="BT6" s="201"/>
      <c r="BU6" s="201"/>
      <c r="BV6" s="201"/>
      <c r="BW6" s="201"/>
      <c r="BX6" s="201"/>
      <c r="BY6" s="201"/>
      <c r="BZ6" s="201"/>
      <c r="CA6" s="201"/>
      <c r="CB6" s="201"/>
      <c r="CC6" s="201"/>
      <c r="CD6" s="201"/>
      <c r="CE6" s="201"/>
      <c r="CF6" s="201"/>
      <c r="CG6" s="201"/>
      <c r="CH6" s="201"/>
      <c r="CI6" s="201"/>
      <c r="CJ6" s="201"/>
      <c r="CK6" s="201"/>
      <c r="CL6" s="201"/>
      <c r="CM6" s="201"/>
      <c r="CN6" s="201"/>
      <c r="CO6" s="201"/>
      <c r="CP6" s="201"/>
      <c r="CQ6" s="201"/>
      <c r="CR6" s="201"/>
      <c r="CS6" s="201"/>
      <c r="CT6" s="201"/>
    </row>
    <row r="7" spans="1:98" customFormat="1" ht="34.15" customHeight="1" x14ac:dyDescent="0.3">
      <c r="A7" s="128">
        <v>38</v>
      </c>
      <c r="B7" s="192" t="s">
        <v>466</v>
      </c>
      <c r="C7" s="328"/>
      <c r="D7" s="328">
        <v>26</v>
      </c>
      <c r="E7" s="328">
        <v>5</v>
      </c>
      <c r="F7" s="328">
        <v>10</v>
      </c>
      <c r="G7" s="328">
        <v>48</v>
      </c>
      <c r="H7" s="328"/>
      <c r="I7" s="328">
        <v>81</v>
      </c>
      <c r="J7" s="328">
        <v>4</v>
      </c>
      <c r="K7" s="340">
        <f t="shared" si="0"/>
        <v>174</v>
      </c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  <c r="AA7" s="201"/>
      <c r="AB7" s="201"/>
      <c r="AC7" s="201"/>
      <c r="AD7" s="201"/>
      <c r="AE7" s="201"/>
      <c r="AF7" s="201"/>
      <c r="AG7" s="201"/>
      <c r="AH7" s="201"/>
      <c r="AI7" s="201"/>
      <c r="AJ7" s="201"/>
      <c r="AK7" s="201"/>
      <c r="AL7" s="201"/>
      <c r="AM7" s="201"/>
      <c r="AN7" s="201"/>
      <c r="AO7" s="201"/>
      <c r="AP7" s="201"/>
      <c r="AQ7" s="201"/>
      <c r="AR7" s="201"/>
      <c r="AS7" s="201"/>
      <c r="AT7" s="201"/>
      <c r="AU7" s="201"/>
      <c r="AV7" s="201"/>
      <c r="AW7" s="201"/>
      <c r="AX7" s="201"/>
      <c r="AY7" s="201"/>
      <c r="AZ7" s="201"/>
      <c r="BA7" s="201"/>
      <c r="BB7" s="201"/>
      <c r="BC7" s="201"/>
      <c r="BD7" s="201"/>
      <c r="BE7" s="201"/>
      <c r="BF7" s="201"/>
      <c r="BG7" s="201"/>
      <c r="BH7" s="201"/>
      <c r="BI7" s="201"/>
      <c r="BJ7" s="201"/>
      <c r="BK7" s="201"/>
      <c r="BL7" s="201"/>
      <c r="BM7" s="201"/>
      <c r="BN7" s="201"/>
      <c r="BO7" s="201"/>
      <c r="BP7" s="201"/>
      <c r="BQ7" s="201"/>
      <c r="BR7" s="201"/>
      <c r="BS7" s="201"/>
      <c r="BT7" s="201"/>
      <c r="BU7" s="201"/>
      <c r="BV7" s="201"/>
      <c r="BW7" s="201"/>
      <c r="BX7" s="201"/>
      <c r="BY7" s="201"/>
      <c r="BZ7" s="201"/>
      <c r="CA7" s="201"/>
      <c r="CB7" s="201"/>
      <c r="CC7" s="201"/>
      <c r="CD7" s="201"/>
      <c r="CE7" s="201"/>
      <c r="CF7" s="201"/>
      <c r="CG7" s="201"/>
      <c r="CH7" s="201"/>
      <c r="CI7" s="201"/>
      <c r="CJ7" s="201"/>
      <c r="CK7" s="201"/>
      <c r="CL7" s="201"/>
      <c r="CM7" s="201"/>
      <c r="CN7" s="201"/>
      <c r="CO7" s="201"/>
      <c r="CP7" s="201"/>
      <c r="CQ7" s="201"/>
      <c r="CR7" s="201"/>
      <c r="CS7" s="201"/>
      <c r="CT7" s="201"/>
    </row>
    <row r="8" spans="1:98" customFormat="1" ht="34.15" customHeight="1" x14ac:dyDescent="0.3">
      <c r="A8" s="128">
        <v>19</v>
      </c>
      <c r="B8" s="192" t="s">
        <v>860</v>
      </c>
      <c r="C8" s="327">
        <v>3</v>
      </c>
      <c r="D8" s="327"/>
      <c r="E8" s="328">
        <v>4</v>
      </c>
      <c r="F8" s="328">
        <v>34</v>
      </c>
      <c r="G8" s="328">
        <v>50</v>
      </c>
      <c r="H8" s="328">
        <v>1</v>
      </c>
      <c r="I8" s="328">
        <v>61</v>
      </c>
      <c r="J8" s="328">
        <v>11</v>
      </c>
      <c r="K8" s="340">
        <f t="shared" si="0"/>
        <v>164</v>
      </c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  <c r="Z8" s="201"/>
      <c r="AA8" s="201"/>
      <c r="AB8" s="201"/>
      <c r="AC8" s="201"/>
      <c r="AD8" s="201"/>
      <c r="AE8" s="201"/>
      <c r="AF8" s="201"/>
      <c r="AG8" s="201"/>
      <c r="AH8" s="201"/>
      <c r="AI8" s="201"/>
      <c r="AJ8" s="201"/>
      <c r="AK8" s="201"/>
      <c r="AL8" s="201"/>
      <c r="AM8" s="201"/>
      <c r="AN8" s="201"/>
      <c r="AO8" s="201"/>
      <c r="AP8" s="201"/>
      <c r="AQ8" s="201"/>
      <c r="AR8" s="201"/>
      <c r="AS8" s="201"/>
      <c r="AT8" s="201"/>
      <c r="AU8" s="201"/>
      <c r="AV8" s="201"/>
      <c r="AW8" s="201"/>
      <c r="AX8" s="201"/>
      <c r="AY8" s="201"/>
      <c r="AZ8" s="201"/>
      <c r="BA8" s="201"/>
      <c r="BB8" s="201"/>
      <c r="BC8" s="201"/>
      <c r="BD8" s="201"/>
      <c r="BE8" s="201"/>
      <c r="BF8" s="201"/>
      <c r="BG8" s="201"/>
      <c r="BH8" s="201"/>
      <c r="BI8" s="201"/>
      <c r="BJ8" s="201"/>
      <c r="BK8" s="201"/>
      <c r="BL8" s="201"/>
      <c r="BM8" s="201"/>
      <c r="BN8" s="201"/>
      <c r="BO8" s="201"/>
      <c r="BP8" s="201"/>
      <c r="BQ8" s="201"/>
      <c r="BR8" s="201"/>
      <c r="BS8" s="201"/>
      <c r="BT8" s="201"/>
      <c r="BU8" s="201"/>
      <c r="BV8" s="201"/>
      <c r="BW8" s="201"/>
      <c r="BX8" s="201"/>
      <c r="BY8" s="201"/>
      <c r="BZ8" s="201"/>
      <c r="CA8" s="201"/>
      <c r="CB8" s="201"/>
      <c r="CC8" s="201"/>
      <c r="CD8" s="201"/>
      <c r="CE8" s="201"/>
      <c r="CF8" s="201"/>
      <c r="CG8" s="201"/>
      <c r="CH8" s="201"/>
      <c r="CI8" s="201"/>
      <c r="CJ8" s="201"/>
      <c r="CK8" s="201"/>
      <c r="CL8" s="201"/>
      <c r="CM8" s="201"/>
      <c r="CN8" s="201"/>
      <c r="CO8" s="201"/>
      <c r="CP8" s="201"/>
      <c r="CQ8" s="201"/>
      <c r="CR8" s="201"/>
      <c r="CS8" s="201"/>
      <c r="CT8" s="201"/>
    </row>
    <row r="9" spans="1:98" customFormat="1" ht="34.15" customHeight="1" x14ac:dyDescent="0.3">
      <c r="A9" s="128">
        <v>3</v>
      </c>
      <c r="B9" s="192" t="s">
        <v>274</v>
      </c>
      <c r="C9" s="326"/>
      <c r="D9" s="326"/>
      <c r="E9" s="326">
        <v>2</v>
      </c>
      <c r="F9" s="326">
        <v>30</v>
      </c>
      <c r="G9" s="326">
        <v>44</v>
      </c>
      <c r="H9" s="326"/>
      <c r="I9" s="326">
        <v>81</v>
      </c>
      <c r="J9" s="326">
        <v>4</v>
      </c>
      <c r="K9" s="340">
        <f t="shared" si="0"/>
        <v>161</v>
      </c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  <c r="AK9" s="201"/>
      <c r="AL9" s="201"/>
      <c r="AM9" s="201"/>
      <c r="AN9" s="201"/>
      <c r="AO9" s="201"/>
      <c r="AP9" s="201"/>
      <c r="AQ9" s="201"/>
      <c r="AR9" s="201"/>
      <c r="AS9" s="201"/>
      <c r="AT9" s="201"/>
      <c r="AU9" s="201"/>
      <c r="AV9" s="201"/>
      <c r="AW9" s="201"/>
      <c r="AX9" s="201"/>
      <c r="AY9" s="201"/>
      <c r="AZ9" s="201"/>
      <c r="BA9" s="201"/>
      <c r="BB9" s="201"/>
      <c r="BC9" s="201"/>
      <c r="BD9" s="201"/>
      <c r="BE9" s="201"/>
      <c r="BF9" s="201"/>
      <c r="BG9" s="201"/>
      <c r="BH9" s="201"/>
      <c r="BI9" s="201"/>
      <c r="BJ9" s="201"/>
      <c r="BK9" s="201"/>
      <c r="BL9" s="201"/>
      <c r="BM9" s="201"/>
      <c r="BN9" s="201"/>
      <c r="BO9" s="201"/>
      <c r="BP9" s="201"/>
      <c r="BQ9" s="201"/>
      <c r="BR9" s="201"/>
      <c r="BS9" s="201"/>
      <c r="BT9" s="201"/>
      <c r="BU9" s="201"/>
      <c r="BV9" s="201"/>
      <c r="BW9" s="201"/>
      <c r="BX9" s="201"/>
      <c r="BY9" s="201"/>
      <c r="BZ9" s="201"/>
      <c r="CA9" s="201"/>
      <c r="CB9" s="201"/>
      <c r="CC9" s="201"/>
      <c r="CD9" s="201"/>
      <c r="CE9" s="201"/>
      <c r="CF9" s="201"/>
      <c r="CG9" s="201"/>
      <c r="CH9" s="201"/>
      <c r="CI9" s="201"/>
      <c r="CJ9" s="201"/>
      <c r="CK9" s="201"/>
      <c r="CL9" s="201"/>
      <c r="CM9" s="201"/>
      <c r="CN9" s="201"/>
      <c r="CO9" s="201"/>
      <c r="CP9" s="201"/>
      <c r="CQ9" s="201"/>
      <c r="CR9" s="201"/>
      <c r="CS9" s="201"/>
      <c r="CT9" s="201"/>
    </row>
    <row r="10" spans="1:98" customFormat="1" ht="34.15" customHeight="1" x14ac:dyDescent="0.3">
      <c r="A10" s="128">
        <v>4</v>
      </c>
      <c r="B10" s="192" t="s">
        <v>275</v>
      </c>
      <c r="C10" s="326">
        <v>1</v>
      </c>
      <c r="D10" s="326"/>
      <c r="E10" s="326">
        <v>1</v>
      </c>
      <c r="F10" s="326">
        <v>16</v>
      </c>
      <c r="G10" s="326">
        <v>65</v>
      </c>
      <c r="H10" s="326">
        <v>1</v>
      </c>
      <c r="I10" s="326">
        <v>52</v>
      </c>
      <c r="J10" s="326">
        <v>14</v>
      </c>
      <c r="K10" s="340">
        <f t="shared" si="0"/>
        <v>150</v>
      </c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1"/>
      <c r="Y10" s="201"/>
      <c r="Z10" s="201"/>
      <c r="AA10" s="201"/>
      <c r="AB10" s="201"/>
      <c r="AC10" s="201"/>
      <c r="AD10" s="201"/>
      <c r="AE10" s="201"/>
      <c r="AF10" s="201"/>
      <c r="AG10" s="201"/>
      <c r="AH10" s="201"/>
      <c r="AI10" s="201"/>
      <c r="AJ10" s="201"/>
      <c r="AK10" s="201"/>
      <c r="AL10" s="201"/>
      <c r="AM10" s="201"/>
      <c r="AN10" s="201"/>
      <c r="AO10" s="201"/>
      <c r="AP10" s="201"/>
      <c r="AQ10" s="201"/>
      <c r="AR10" s="201"/>
      <c r="AS10" s="201"/>
      <c r="AT10" s="201"/>
      <c r="AU10" s="201"/>
      <c r="AV10" s="201"/>
      <c r="AW10" s="201"/>
      <c r="AX10" s="201"/>
      <c r="AY10" s="201"/>
      <c r="AZ10" s="201"/>
      <c r="BA10" s="201"/>
      <c r="BB10" s="201"/>
      <c r="BC10" s="201"/>
      <c r="BD10" s="201"/>
      <c r="BE10" s="201"/>
      <c r="BF10" s="201"/>
      <c r="BG10" s="201"/>
      <c r="BH10" s="201"/>
      <c r="BI10" s="201"/>
      <c r="BJ10" s="201"/>
      <c r="BK10" s="201"/>
      <c r="BL10" s="201"/>
      <c r="BM10" s="201"/>
      <c r="BN10" s="201"/>
      <c r="BO10" s="201"/>
      <c r="BP10" s="201"/>
      <c r="BQ10" s="201"/>
      <c r="BR10" s="201"/>
      <c r="BS10" s="201"/>
      <c r="BT10" s="201"/>
      <c r="BU10" s="201"/>
      <c r="BV10" s="201"/>
      <c r="BW10" s="201"/>
      <c r="BX10" s="201"/>
      <c r="BY10" s="201"/>
      <c r="BZ10" s="201"/>
      <c r="CA10" s="201"/>
      <c r="CB10" s="201"/>
      <c r="CC10" s="201"/>
      <c r="CD10" s="201"/>
      <c r="CE10" s="201"/>
      <c r="CF10" s="201"/>
      <c r="CG10" s="201"/>
      <c r="CH10" s="201"/>
      <c r="CI10" s="201"/>
      <c r="CJ10" s="201"/>
      <c r="CK10" s="201"/>
      <c r="CL10" s="201"/>
      <c r="CM10" s="201"/>
      <c r="CN10" s="201"/>
      <c r="CO10" s="201"/>
      <c r="CP10" s="201"/>
      <c r="CQ10" s="201"/>
      <c r="CR10" s="201"/>
      <c r="CS10" s="201"/>
      <c r="CT10" s="201"/>
    </row>
    <row r="11" spans="1:98" customFormat="1" ht="34.15" customHeight="1" x14ac:dyDescent="0.3">
      <c r="A11" s="128">
        <v>23</v>
      </c>
      <c r="B11" s="192" t="s">
        <v>562</v>
      </c>
      <c r="C11" s="328"/>
      <c r="D11" s="328">
        <v>13</v>
      </c>
      <c r="E11" s="328">
        <v>3</v>
      </c>
      <c r="F11" s="328">
        <v>13</v>
      </c>
      <c r="G11" s="328">
        <v>61</v>
      </c>
      <c r="H11" s="328">
        <v>3</v>
      </c>
      <c r="I11" s="328">
        <v>49</v>
      </c>
      <c r="J11" s="328">
        <v>8</v>
      </c>
      <c r="K11" s="340">
        <f t="shared" si="0"/>
        <v>150</v>
      </c>
      <c r="L11" s="201"/>
      <c r="M11" s="201"/>
      <c r="N11" s="201"/>
      <c r="O11" s="201"/>
      <c r="P11" s="201"/>
      <c r="Q11" s="201"/>
      <c r="R11" s="201"/>
      <c r="S11" s="201"/>
      <c r="T11" s="201"/>
      <c r="U11" s="201"/>
      <c r="V11" s="201"/>
      <c r="W11" s="201"/>
      <c r="X11" s="201"/>
      <c r="Y11" s="201"/>
      <c r="Z11" s="201"/>
      <c r="AA11" s="201"/>
      <c r="AB11" s="201"/>
      <c r="AC11" s="201"/>
      <c r="AD11" s="201"/>
      <c r="AE11" s="201"/>
      <c r="AF11" s="201"/>
      <c r="AG11" s="201"/>
      <c r="AH11" s="201"/>
      <c r="AI11" s="201"/>
      <c r="AJ11" s="201"/>
      <c r="AK11" s="201"/>
      <c r="AL11" s="201"/>
      <c r="AM11" s="201"/>
      <c r="AN11" s="201"/>
      <c r="AO11" s="201"/>
      <c r="AP11" s="201"/>
      <c r="AQ11" s="201"/>
      <c r="AR11" s="201"/>
      <c r="AS11" s="201"/>
      <c r="AT11" s="201"/>
      <c r="AU11" s="201"/>
      <c r="AV11" s="201"/>
      <c r="AW11" s="201"/>
      <c r="AX11" s="201"/>
      <c r="AY11" s="201"/>
      <c r="AZ11" s="201"/>
      <c r="BA11" s="201"/>
      <c r="BB11" s="201"/>
      <c r="BC11" s="201"/>
      <c r="BD11" s="201"/>
      <c r="BE11" s="201"/>
      <c r="BF11" s="201"/>
      <c r="BG11" s="201"/>
      <c r="BH11" s="201"/>
      <c r="BI11" s="201"/>
      <c r="BJ11" s="201"/>
      <c r="BK11" s="201"/>
      <c r="BL11" s="201"/>
      <c r="BM11" s="201"/>
      <c r="BN11" s="201"/>
      <c r="BO11" s="201"/>
      <c r="BP11" s="201"/>
      <c r="BQ11" s="201"/>
      <c r="BR11" s="201"/>
      <c r="BS11" s="201"/>
      <c r="BT11" s="201"/>
      <c r="BU11" s="201"/>
      <c r="BV11" s="201"/>
      <c r="BW11" s="201"/>
      <c r="BX11" s="201"/>
      <c r="BY11" s="201"/>
      <c r="BZ11" s="201"/>
      <c r="CA11" s="201"/>
      <c r="CB11" s="201"/>
      <c r="CC11" s="201"/>
      <c r="CD11" s="201"/>
      <c r="CE11" s="201"/>
      <c r="CF11" s="201"/>
      <c r="CG11" s="201"/>
      <c r="CH11" s="201"/>
      <c r="CI11" s="201"/>
      <c r="CJ11" s="201"/>
      <c r="CK11" s="201"/>
      <c r="CL11" s="201"/>
      <c r="CM11" s="201"/>
      <c r="CN11" s="201"/>
      <c r="CO11" s="201"/>
      <c r="CP11" s="201"/>
      <c r="CQ11" s="201"/>
      <c r="CR11" s="201"/>
      <c r="CS11" s="201"/>
      <c r="CT11" s="201"/>
    </row>
    <row r="12" spans="1:98" customFormat="1" ht="34.15" customHeight="1" x14ac:dyDescent="0.3">
      <c r="A12" s="128">
        <v>13</v>
      </c>
      <c r="B12" s="192" t="s">
        <v>31</v>
      </c>
      <c r="C12" s="326"/>
      <c r="D12" s="326"/>
      <c r="E12" s="326">
        <v>1</v>
      </c>
      <c r="F12" s="326">
        <v>6</v>
      </c>
      <c r="G12" s="326">
        <v>37</v>
      </c>
      <c r="H12" s="326">
        <v>1</v>
      </c>
      <c r="I12" s="326">
        <v>99</v>
      </c>
      <c r="J12" s="326">
        <v>3</v>
      </c>
      <c r="K12" s="340">
        <f t="shared" si="0"/>
        <v>147</v>
      </c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201"/>
      <c r="AG12" s="201"/>
      <c r="AH12" s="201"/>
      <c r="AI12" s="201"/>
      <c r="AJ12" s="201"/>
      <c r="AK12" s="201"/>
      <c r="AL12" s="201"/>
      <c r="AM12" s="201"/>
      <c r="AN12" s="201"/>
      <c r="AO12" s="201"/>
      <c r="AP12" s="201"/>
      <c r="AQ12" s="201"/>
      <c r="AR12" s="201"/>
      <c r="AS12" s="201"/>
      <c r="AT12" s="201"/>
      <c r="AU12" s="201"/>
      <c r="AV12" s="201"/>
      <c r="AW12" s="201"/>
      <c r="AX12" s="201"/>
      <c r="AY12" s="201"/>
      <c r="AZ12" s="201"/>
      <c r="BA12" s="201"/>
      <c r="BB12" s="201"/>
      <c r="BC12" s="201"/>
      <c r="BD12" s="201"/>
      <c r="BE12" s="201"/>
      <c r="BF12" s="201"/>
      <c r="BG12" s="201"/>
      <c r="BH12" s="201"/>
      <c r="BI12" s="201"/>
      <c r="BJ12" s="201"/>
      <c r="BK12" s="201"/>
      <c r="BL12" s="201"/>
      <c r="BM12" s="201"/>
      <c r="BN12" s="201"/>
      <c r="BO12" s="201"/>
      <c r="BP12" s="201"/>
      <c r="BQ12" s="201"/>
      <c r="BR12" s="201"/>
      <c r="BS12" s="201"/>
      <c r="BT12" s="201"/>
      <c r="BU12" s="201"/>
      <c r="BV12" s="201"/>
      <c r="BW12" s="201"/>
      <c r="BX12" s="201"/>
      <c r="BY12" s="201"/>
      <c r="BZ12" s="201"/>
      <c r="CA12" s="201"/>
      <c r="CB12" s="201"/>
      <c r="CC12" s="201"/>
      <c r="CD12" s="201"/>
      <c r="CE12" s="201"/>
      <c r="CF12" s="201"/>
      <c r="CG12" s="201"/>
      <c r="CH12" s="201"/>
      <c r="CI12" s="201"/>
      <c r="CJ12" s="201"/>
      <c r="CK12" s="201"/>
      <c r="CL12" s="201"/>
      <c r="CM12" s="201"/>
      <c r="CN12" s="201"/>
      <c r="CO12" s="201"/>
      <c r="CP12" s="201"/>
      <c r="CQ12" s="201"/>
      <c r="CR12" s="201"/>
      <c r="CS12" s="201"/>
      <c r="CT12" s="201"/>
    </row>
    <row r="13" spans="1:98" customFormat="1" ht="34.15" customHeight="1" x14ac:dyDescent="0.3">
      <c r="A13" s="128">
        <v>11</v>
      </c>
      <c r="B13" s="192" t="s">
        <v>277</v>
      </c>
      <c r="C13" s="326">
        <v>1</v>
      </c>
      <c r="D13" s="326"/>
      <c r="E13" s="326">
        <v>2</v>
      </c>
      <c r="F13" s="326">
        <v>10</v>
      </c>
      <c r="G13" s="326">
        <v>22</v>
      </c>
      <c r="H13" s="326">
        <v>1</v>
      </c>
      <c r="I13" s="326">
        <v>101</v>
      </c>
      <c r="J13" s="328">
        <v>1</v>
      </c>
      <c r="K13" s="340">
        <f t="shared" si="0"/>
        <v>138</v>
      </c>
      <c r="L13" s="201"/>
      <c r="M13" s="201"/>
      <c r="N13" s="201"/>
      <c r="O13" s="201"/>
      <c r="P13" s="201"/>
      <c r="Q13" s="201"/>
      <c r="R13" s="201"/>
      <c r="S13" s="201"/>
      <c r="T13" s="201"/>
      <c r="U13" s="201"/>
      <c r="V13" s="201"/>
      <c r="W13" s="201"/>
      <c r="X13" s="201"/>
      <c r="Y13" s="201"/>
      <c r="Z13" s="201"/>
      <c r="AA13" s="201"/>
      <c r="AB13" s="201"/>
      <c r="AC13" s="201"/>
      <c r="AD13" s="201"/>
      <c r="AE13" s="201"/>
      <c r="AF13" s="201"/>
      <c r="AG13" s="201"/>
      <c r="AH13" s="201"/>
      <c r="AI13" s="201"/>
      <c r="AJ13" s="201"/>
      <c r="AK13" s="201"/>
      <c r="AL13" s="201"/>
      <c r="AM13" s="201"/>
      <c r="AN13" s="201"/>
      <c r="AO13" s="201"/>
      <c r="AP13" s="201"/>
      <c r="AQ13" s="201"/>
      <c r="AR13" s="201"/>
      <c r="AS13" s="201"/>
      <c r="AT13" s="201"/>
      <c r="AU13" s="201"/>
      <c r="AV13" s="201"/>
      <c r="AW13" s="201"/>
      <c r="AX13" s="201"/>
      <c r="AY13" s="201"/>
      <c r="AZ13" s="201"/>
      <c r="BA13" s="201"/>
      <c r="BB13" s="201"/>
      <c r="BC13" s="201"/>
      <c r="BD13" s="201"/>
      <c r="BE13" s="201"/>
      <c r="BF13" s="201"/>
      <c r="BG13" s="201"/>
      <c r="BH13" s="201"/>
      <c r="BI13" s="201"/>
      <c r="BJ13" s="201"/>
      <c r="BK13" s="201"/>
      <c r="BL13" s="201"/>
      <c r="BM13" s="201"/>
      <c r="BN13" s="201"/>
      <c r="BO13" s="201"/>
      <c r="BP13" s="201"/>
      <c r="BQ13" s="201"/>
      <c r="BR13" s="201"/>
      <c r="BS13" s="201"/>
      <c r="BT13" s="201"/>
      <c r="BU13" s="201"/>
      <c r="BV13" s="201"/>
      <c r="BW13" s="201"/>
      <c r="BX13" s="201"/>
      <c r="BY13" s="201"/>
      <c r="BZ13" s="201"/>
      <c r="CA13" s="201"/>
      <c r="CB13" s="201"/>
      <c r="CC13" s="201"/>
      <c r="CD13" s="201"/>
      <c r="CE13" s="201"/>
      <c r="CF13" s="201"/>
      <c r="CG13" s="201"/>
      <c r="CH13" s="201"/>
      <c r="CI13" s="201"/>
      <c r="CJ13" s="201"/>
      <c r="CK13" s="201"/>
      <c r="CL13" s="201"/>
      <c r="CM13" s="201"/>
      <c r="CN13" s="201"/>
      <c r="CO13" s="201"/>
      <c r="CP13" s="201"/>
      <c r="CQ13" s="201"/>
      <c r="CR13" s="201"/>
      <c r="CS13" s="201"/>
      <c r="CT13" s="201"/>
    </row>
    <row r="14" spans="1:98" customFormat="1" ht="34.15" customHeight="1" x14ac:dyDescent="0.3">
      <c r="A14" s="128">
        <v>24</v>
      </c>
      <c r="B14" s="192" t="s">
        <v>639</v>
      </c>
      <c r="C14" s="327"/>
      <c r="D14" s="328">
        <v>19</v>
      </c>
      <c r="E14" s="328"/>
      <c r="F14" s="328">
        <v>15</v>
      </c>
      <c r="G14" s="328">
        <v>34</v>
      </c>
      <c r="H14" s="328">
        <v>1</v>
      </c>
      <c r="I14" s="328">
        <v>52</v>
      </c>
      <c r="J14" s="328">
        <v>15</v>
      </c>
      <c r="K14" s="340">
        <f t="shared" si="0"/>
        <v>136</v>
      </c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201"/>
      <c r="AL14" s="201"/>
      <c r="AM14" s="201"/>
      <c r="AN14" s="201"/>
      <c r="AO14" s="201"/>
      <c r="AP14" s="201"/>
      <c r="AQ14" s="201"/>
      <c r="AR14" s="201"/>
      <c r="AS14" s="201"/>
      <c r="AT14" s="201"/>
      <c r="AU14" s="201"/>
      <c r="AV14" s="201"/>
      <c r="AW14" s="201"/>
      <c r="AX14" s="201"/>
      <c r="AY14" s="201"/>
      <c r="AZ14" s="201"/>
      <c r="BA14" s="201"/>
      <c r="BB14" s="201"/>
      <c r="BC14" s="201"/>
      <c r="BD14" s="201"/>
      <c r="BE14" s="201"/>
      <c r="BF14" s="201"/>
      <c r="BG14" s="201"/>
      <c r="BH14" s="201"/>
      <c r="BI14" s="201"/>
      <c r="BJ14" s="201"/>
      <c r="BK14" s="201"/>
      <c r="BL14" s="201"/>
      <c r="BM14" s="201"/>
      <c r="BN14" s="201"/>
      <c r="BO14" s="201"/>
      <c r="BP14" s="201"/>
      <c r="BQ14" s="201"/>
      <c r="BR14" s="201"/>
      <c r="BS14" s="201"/>
      <c r="BT14" s="201"/>
      <c r="BU14" s="201"/>
      <c r="BV14" s="201"/>
      <c r="BW14" s="201"/>
      <c r="BX14" s="201"/>
      <c r="BY14" s="201"/>
      <c r="BZ14" s="201"/>
      <c r="CA14" s="201"/>
      <c r="CB14" s="201"/>
      <c r="CC14" s="201"/>
      <c r="CD14" s="201"/>
      <c r="CE14" s="201"/>
      <c r="CF14" s="201"/>
      <c r="CG14" s="201"/>
      <c r="CH14" s="201"/>
      <c r="CI14" s="201"/>
      <c r="CJ14" s="201"/>
      <c r="CK14" s="201"/>
      <c r="CL14" s="201"/>
      <c r="CM14" s="201"/>
      <c r="CN14" s="201"/>
      <c r="CO14" s="201"/>
      <c r="CP14" s="201"/>
      <c r="CQ14" s="201"/>
      <c r="CR14" s="201"/>
      <c r="CS14" s="201"/>
      <c r="CT14" s="201"/>
    </row>
    <row r="15" spans="1:98" customFormat="1" ht="34.15" customHeight="1" x14ac:dyDescent="0.3">
      <c r="A15" s="128">
        <v>18</v>
      </c>
      <c r="B15" s="192" t="s">
        <v>465</v>
      </c>
      <c r="C15" s="328">
        <v>1</v>
      </c>
      <c r="D15" s="328"/>
      <c r="E15" s="328">
        <v>7</v>
      </c>
      <c r="F15" s="328">
        <v>8</v>
      </c>
      <c r="G15" s="328">
        <v>50</v>
      </c>
      <c r="H15" s="328">
        <v>2</v>
      </c>
      <c r="I15" s="328">
        <v>61</v>
      </c>
      <c r="J15" s="328">
        <v>5</v>
      </c>
      <c r="K15" s="340">
        <f t="shared" si="0"/>
        <v>134</v>
      </c>
      <c r="L15" s="201"/>
      <c r="M15" s="201"/>
      <c r="N15" s="201"/>
      <c r="O15" s="201"/>
      <c r="P15" s="201"/>
      <c r="Q15" s="201"/>
      <c r="R15" s="201"/>
      <c r="S15" s="201"/>
      <c r="T15" s="201"/>
      <c r="U15" s="201"/>
      <c r="V15" s="201"/>
      <c r="W15" s="201"/>
      <c r="X15" s="201"/>
      <c r="Y15" s="201"/>
      <c r="Z15" s="201"/>
      <c r="AA15" s="201"/>
      <c r="AB15" s="201"/>
      <c r="AC15" s="201"/>
      <c r="AD15" s="201"/>
      <c r="AE15" s="201"/>
      <c r="AF15" s="201"/>
      <c r="AG15" s="201"/>
      <c r="AH15" s="201"/>
      <c r="AI15" s="201"/>
      <c r="AJ15" s="201"/>
      <c r="AK15" s="201"/>
      <c r="AL15" s="201"/>
      <c r="AM15" s="201"/>
      <c r="AN15" s="201"/>
      <c r="AO15" s="201"/>
      <c r="AP15" s="201"/>
      <c r="AQ15" s="201"/>
      <c r="AR15" s="201"/>
      <c r="AS15" s="201"/>
      <c r="AT15" s="201"/>
      <c r="AU15" s="201"/>
      <c r="AV15" s="201"/>
      <c r="AW15" s="201"/>
      <c r="AX15" s="201"/>
      <c r="AY15" s="201"/>
      <c r="AZ15" s="201"/>
      <c r="BA15" s="201"/>
      <c r="BB15" s="201"/>
      <c r="BC15" s="201"/>
      <c r="BD15" s="201"/>
      <c r="BE15" s="201"/>
      <c r="BF15" s="201"/>
      <c r="BG15" s="201"/>
      <c r="BH15" s="201"/>
      <c r="BI15" s="201"/>
      <c r="BJ15" s="201"/>
      <c r="BK15" s="201"/>
      <c r="BL15" s="201"/>
      <c r="BM15" s="201"/>
      <c r="BN15" s="201"/>
      <c r="BO15" s="201"/>
      <c r="BP15" s="201"/>
      <c r="BQ15" s="201"/>
      <c r="BR15" s="201"/>
      <c r="BS15" s="201"/>
      <c r="BT15" s="201"/>
      <c r="BU15" s="201"/>
      <c r="BV15" s="201"/>
      <c r="BW15" s="201"/>
      <c r="BX15" s="201"/>
      <c r="BY15" s="201"/>
      <c r="BZ15" s="201"/>
      <c r="CA15" s="201"/>
      <c r="CB15" s="201"/>
      <c r="CC15" s="201"/>
      <c r="CD15" s="201"/>
      <c r="CE15" s="201"/>
      <c r="CF15" s="201"/>
      <c r="CG15" s="201"/>
      <c r="CH15" s="201"/>
      <c r="CI15" s="201"/>
      <c r="CJ15" s="201"/>
      <c r="CK15" s="201"/>
      <c r="CL15" s="201"/>
      <c r="CM15" s="201"/>
      <c r="CN15" s="201"/>
      <c r="CO15" s="201"/>
      <c r="CP15" s="201"/>
      <c r="CQ15" s="201"/>
      <c r="CR15" s="201"/>
      <c r="CS15" s="201"/>
      <c r="CT15" s="201"/>
    </row>
    <row r="16" spans="1:98" customFormat="1" ht="34.15" customHeight="1" x14ac:dyDescent="0.3">
      <c r="A16" s="128">
        <v>32</v>
      </c>
      <c r="B16" s="242" t="s">
        <v>643</v>
      </c>
      <c r="C16" s="327"/>
      <c r="D16" s="328">
        <v>9</v>
      </c>
      <c r="E16" s="328">
        <v>19</v>
      </c>
      <c r="F16" s="328">
        <v>4</v>
      </c>
      <c r="G16" s="328">
        <v>13</v>
      </c>
      <c r="H16" s="328"/>
      <c r="I16" s="328">
        <v>83</v>
      </c>
      <c r="J16" s="328"/>
      <c r="K16" s="340">
        <f t="shared" si="0"/>
        <v>128</v>
      </c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1"/>
      <c r="X16" s="201"/>
      <c r="Y16" s="201"/>
      <c r="Z16" s="201"/>
      <c r="AA16" s="201"/>
      <c r="AB16" s="201"/>
      <c r="AC16" s="201"/>
      <c r="AD16" s="201"/>
      <c r="AE16" s="201"/>
      <c r="AF16" s="201"/>
      <c r="AG16" s="201"/>
      <c r="AH16" s="201"/>
      <c r="AI16" s="201"/>
      <c r="AJ16" s="201"/>
      <c r="AK16" s="201"/>
      <c r="AL16" s="201"/>
      <c r="AM16" s="201"/>
      <c r="AN16" s="201"/>
      <c r="AO16" s="201"/>
      <c r="AP16" s="201"/>
      <c r="AQ16" s="201"/>
      <c r="AR16" s="201"/>
      <c r="AS16" s="201"/>
      <c r="AT16" s="201"/>
      <c r="AU16" s="201"/>
      <c r="AV16" s="201"/>
      <c r="AW16" s="201"/>
      <c r="AX16" s="201"/>
      <c r="AY16" s="201"/>
      <c r="AZ16" s="201"/>
      <c r="BA16" s="201"/>
      <c r="BB16" s="201"/>
      <c r="BC16" s="201"/>
      <c r="BD16" s="201"/>
      <c r="BE16" s="201"/>
      <c r="BF16" s="201"/>
      <c r="BG16" s="201"/>
      <c r="BH16" s="201"/>
      <c r="BI16" s="201"/>
      <c r="BJ16" s="201"/>
      <c r="BK16" s="201"/>
      <c r="BL16" s="201"/>
      <c r="BM16" s="201"/>
      <c r="BN16" s="201"/>
      <c r="BO16" s="201"/>
      <c r="BP16" s="201"/>
      <c r="BQ16" s="201"/>
      <c r="BR16" s="201"/>
      <c r="BS16" s="201"/>
      <c r="BT16" s="201"/>
      <c r="BU16" s="201"/>
      <c r="BV16" s="201"/>
      <c r="BW16" s="201"/>
      <c r="BX16" s="201"/>
      <c r="BY16" s="201"/>
      <c r="BZ16" s="201"/>
      <c r="CA16" s="201"/>
      <c r="CB16" s="201"/>
      <c r="CC16" s="201"/>
      <c r="CD16" s="201"/>
      <c r="CE16" s="201"/>
      <c r="CF16" s="201"/>
      <c r="CG16" s="201"/>
      <c r="CH16" s="201"/>
      <c r="CI16" s="201"/>
      <c r="CJ16" s="201"/>
      <c r="CK16" s="201"/>
      <c r="CL16" s="201"/>
      <c r="CM16" s="201"/>
      <c r="CN16" s="201"/>
      <c r="CO16" s="201"/>
      <c r="CP16" s="201"/>
      <c r="CQ16" s="201"/>
      <c r="CR16" s="201"/>
      <c r="CS16" s="201"/>
      <c r="CT16" s="201"/>
    </row>
    <row r="17" spans="1:98" customFormat="1" ht="34.15" customHeight="1" x14ac:dyDescent="0.3">
      <c r="A17" s="128">
        <v>9</v>
      </c>
      <c r="B17" s="192" t="s">
        <v>698</v>
      </c>
      <c r="C17" s="327"/>
      <c r="D17" s="328"/>
      <c r="E17" s="328">
        <v>19</v>
      </c>
      <c r="F17" s="328">
        <v>18</v>
      </c>
      <c r="G17" s="328">
        <v>34</v>
      </c>
      <c r="H17" s="328"/>
      <c r="I17" s="328">
        <v>45</v>
      </c>
      <c r="J17" s="328">
        <v>9</v>
      </c>
      <c r="K17" s="340">
        <f t="shared" si="0"/>
        <v>125</v>
      </c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  <c r="X17" s="201"/>
      <c r="Y17" s="201"/>
      <c r="Z17" s="201"/>
      <c r="AA17" s="201"/>
      <c r="AB17" s="201"/>
      <c r="AC17" s="201"/>
      <c r="AD17" s="201"/>
      <c r="AE17" s="201"/>
      <c r="AF17" s="201"/>
      <c r="AG17" s="201"/>
      <c r="AH17" s="201"/>
      <c r="AI17" s="201"/>
      <c r="AJ17" s="201"/>
      <c r="AK17" s="201"/>
      <c r="AL17" s="201"/>
      <c r="AM17" s="201"/>
      <c r="AN17" s="201"/>
      <c r="AO17" s="201"/>
      <c r="AP17" s="201"/>
      <c r="AQ17" s="201"/>
      <c r="AR17" s="201"/>
      <c r="AS17" s="201"/>
      <c r="AT17" s="201"/>
      <c r="AU17" s="201"/>
      <c r="AV17" s="201"/>
      <c r="AW17" s="201"/>
      <c r="AX17" s="201"/>
      <c r="AY17" s="201"/>
      <c r="AZ17" s="201"/>
      <c r="BA17" s="201"/>
      <c r="BB17" s="201"/>
      <c r="BC17" s="201"/>
      <c r="BD17" s="201"/>
      <c r="BE17" s="201"/>
      <c r="BF17" s="201"/>
      <c r="BG17" s="201"/>
      <c r="BH17" s="201"/>
      <c r="BI17" s="201"/>
      <c r="BJ17" s="201"/>
      <c r="BK17" s="201"/>
      <c r="BL17" s="201"/>
      <c r="BM17" s="201"/>
      <c r="BN17" s="201"/>
      <c r="BO17" s="201"/>
      <c r="BP17" s="201"/>
      <c r="BQ17" s="201"/>
      <c r="BR17" s="201"/>
      <c r="BS17" s="201"/>
      <c r="BT17" s="201"/>
      <c r="BU17" s="201"/>
      <c r="BV17" s="201"/>
      <c r="BW17" s="201"/>
      <c r="BX17" s="201"/>
      <c r="BY17" s="201"/>
      <c r="BZ17" s="201"/>
      <c r="CA17" s="201"/>
      <c r="CB17" s="201"/>
      <c r="CC17" s="201"/>
      <c r="CD17" s="201"/>
      <c r="CE17" s="201"/>
      <c r="CF17" s="201"/>
      <c r="CG17" s="201"/>
      <c r="CH17" s="201"/>
      <c r="CI17" s="201"/>
      <c r="CJ17" s="201"/>
      <c r="CK17" s="201"/>
      <c r="CL17" s="201"/>
      <c r="CM17" s="201"/>
      <c r="CN17" s="201"/>
      <c r="CO17" s="201"/>
      <c r="CP17" s="201"/>
      <c r="CQ17" s="201"/>
      <c r="CR17" s="201"/>
      <c r="CS17" s="201"/>
      <c r="CT17" s="201"/>
    </row>
    <row r="18" spans="1:98" customFormat="1" ht="34.15" customHeight="1" x14ac:dyDescent="0.3">
      <c r="A18" s="128">
        <v>22</v>
      </c>
      <c r="B18" s="192" t="s">
        <v>68</v>
      </c>
      <c r="C18" s="326"/>
      <c r="D18" s="326">
        <v>23</v>
      </c>
      <c r="E18" s="326">
        <v>4</v>
      </c>
      <c r="F18" s="326">
        <v>3</v>
      </c>
      <c r="G18" s="326">
        <v>31</v>
      </c>
      <c r="H18" s="326"/>
      <c r="I18" s="326">
        <v>55</v>
      </c>
      <c r="J18" s="328">
        <v>4</v>
      </c>
      <c r="K18" s="340">
        <f t="shared" si="0"/>
        <v>120</v>
      </c>
      <c r="L18" s="201"/>
      <c r="M18" s="201"/>
      <c r="N18" s="201"/>
      <c r="O18" s="201"/>
      <c r="P18" s="201"/>
      <c r="Q18" s="201"/>
      <c r="R18" s="201"/>
      <c r="S18" s="201"/>
      <c r="T18" s="201"/>
      <c r="U18" s="201"/>
      <c r="V18" s="201"/>
      <c r="W18" s="201"/>
      <c r="X18" s="201"/>
      <c r="Y18" s="201"/>
      <c r="Z18" s="201"/>
      <c r="AA18" s="201"/>
      <c r="AB18" s="201"/>
      <c r="AC18" s="201"/>
      <c r="AD18" s="201"/>
      <c r="AE18" s="201"/>
      <c r="AF18" s="201"/>
      <c r="AG18" s="201"/>
      <c r="AH18" s="201"/>
      <c r="AI18" s="201"/>
      <c r="AJ18" s="201"/>
      <c r="AK18" s="201"/>
      <c r="AL18" s="201"/>
      <c r="AM18" s="201"/>
      <c r="AN18" s="201"/>
      <c r="AO18" s="201"/>
      <c r="AP18" s="201"/>
      <c r="AQ18" s="201"/>
      <c r="AR18" s="201"/>
      <c r="AS18" s="201"/>
      <c r="AT18" s="201"/>
      <c r="AU18" s="201"/>
      <c r="AV18" s="201"/>
      <c r="AW18" s="201"/>
      <c r="AX18" s="201"/>
      <c r="AY18" s="201"/>
      <c r="AZ18" s="201"/>
      <c r="BA18" s="201"/>
      <c r="BB18" s="201"/>
      <c r="BC18" s="201"/>
      <c r="BD18" s="201"/>
      <c r="BE18" s="201"/>
      <c r="BF18" s="201"/>
      <c r="BG18" s="201"/>
      <c r="BH18" s="201"/>
      <c r="BI18" s="201"/>
      <c r="BJ18" s="201"/>
      <c r="BK18" s="201"/>
      <c r="BL18" s="201"/>
      <c r="BM18" s="201"/>
      <c r="BN18" s="201"/>
      <c r="BO18" s="201"/>
      <c r="BP18" s="201"/>
      <c r="BQ18" s="201"/>
      <c r="BR18" s="201"/>
      <c r="BS18" s="201"/>
      <c r="BT18" s="201"/>
      <c r="BU18" s="201"/>
      <c r="BV18" s="201"/>
      <c r="BW18" s="201"/>
      <c r="BX18" s="201"/>
      <c r="BY18" s="201"/>
      <c r="BZ18" s="201"/>
      <c r="CA18" s="201"/>
      <c r="CB18" s="201"/>
      <c r="CC18" s="201"/>
      <c r="CD18" s="201"/>
      <c r="CE18" s="201"/>
      <c r="CF18" s="201"/>
      <c r="CG18" s="201"/>
      <c r="CH18" s="201"/>
      <c r="CI18" s="201"/>
      <c r="CJ18" s="201"/>
      <c r="CK18" s="201"/>
      <c r="CL18" s="201"/>
      <c r="CM18" s="201"/>
      <c r="CN18" s="201"/>
      <c r="CO18" s="201"/>
      <c r="CP18" s="201"/>
      <c r="CQ18" s="201"/>
      <c r="CR18" s="201"/>
      <c r="CS18" s="201"/>
      <c r="CT18" s="201"/>
    </row>
    <row r="19" spans="1:98" customFormat="1" ht="34.15" customHeight="1" x14ac:dyDescent="0.3">
      <c r="A19" s="128">
        <v>31</v>
      </c>
      <c r="B19" s="192" t="s">
        <v>563</v>
      </c>
      <c r="C19" s="328">
        <v>1</v>
      </c>
      <c r="D19" s="328">
        <v>10</v>
      </c>
      <c r="E19" s="328">
        <v>3</v>
      </c>
      <c r="F19" s="328">
        <v>16</v>
      </c>
      <c r="G19" s="328">
        <v>22</v>
      </c>
      <c r="H19" s="328"/>
      <c r="I19" s="328">
        <v>61</v>
      </c>
      <c r="J19" s="328">
        <v>7</v>
      </c>
      <c r="K19" s="340">
        <f t="shared" si="0"/>
        <v>120</v>
      </c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1"/>
      <c r="X19" s="201"/>
      <c r="Y19" s="201"/>
      <c r="Z19" s="201"/>
      <c r="AA19" s="201"/>
      <c r="AB19" s="201"/>
      <c r="AC19" s="201"/>
      <c r="AD19" s="201"/>
      <c r="AE19" s="201"/>
      <c r="AF19" s="201"/>
      <c r="AG19" s="201"/>
      <c r="AH19" s="201"/>
      <c r="AI19" s="201"/>
      <c r="AJ19" s="201"/>
      <c r="AK19" s="201"/>
      <c r="AL19" s="201"/>
      <c r="AM19" s="201"/>
      <c r="AN19" s="201"/>
      <c r="AO19" s="201"/>
      <c r="AP19" s="201"/>
      <c r="AQ19" s="201"/>
      <c r="AR19" s="201"/>
      <c r="AS19" s="201"/>
      <c r="AT19" s="201"/>
      <c r="AU19" s="201"/>
      <c r="AV19" s="201"/>
      <c r="AW19" s="201"/>
      <c r="AX19" s="201"/>
      <c r="AY19" s="201"/>
      <c r="AZ19" s="201"/>
      <c r="BA19" s="201"/>
      <c r="BB19" s="201"/>
      <c r="BC19" s="201"/>
      <c r="BD19" s="201"/>
      <c r="BE19" s="201"/>
      <c r="BF19" s="201"/>
      <c r="BG19" s="201"/>
      <c r="BH19" s="201"/>
      <c r="BI19" s="201"/>
      <c r="BJ19" s="201"/>
      <c r="BK19" s="201"/>
      <c r="BL19" s="201"/>
      <c r="BM19" s="201"/>
      <c r="BN19" s="201"/>
      <c r="BO19" s="201"/>
      <c r="BP19" s="201"/>
      <c r="BQ19" s="201"/>
      <c r="BR19" s="201"/>
      <c r="BS19" s="201"/>
      <c r="BT19" s="201"/>
      <c r="BU19" s="201"/>
      <c r="BV19" s="201"/>
      <c r="BW19" s="201"/>
      <c r="BX19" s="201"/>
      <c r="BY19" s="201"/>
      <c r="BZ19" s="201"/>
      <c r="CA19" s="201"/>
      <c r="CB19" s="201"/>
      <c r="CC19" s="201"/>
      <c r="CD19" s="201"/>
      <c r="CE19" s="201"/>
      <c r="CF19" s="201"/>
      <c r="CG19" s="201"/>
      <c r="CH19" s="201"/>
      <c r="CI19" s="201"/>
      <c r="CJ19" s="201"/>
      <c r="CK19" s="201"/>
      <c r="CL19" s="201"/>
      <c r="CM19" s="201"/>
      <c r="CN19" s="201"/>
      <c r="CO19" s="201"/>
      <c r="CP19" s="201"/>
      <c r="CQ19" s="201"/>
      <c r="CR19" s="201"/>
      <c r="CS19" s="201"/>
      <c r="CT19" s="201"/>
    </row>
    <row r="20" spans="1:98" customFormat="1" ht="34.15" customHeight="1" x14ac:dyDescent="0.3">
      <c r="A20" s="128">
        <v>34</v>
      </c>
      <c r="B20" s="192" t="s">
        <v>765</v>
      </c>
      <c r="C20" s="327">
        <v>2</v>
      </c>
      <c r="D20" s="327">
        <v>5</v>
      </c>
      <c r="E20" s="328">
        <v>1</v>
      </c>
      <c r="F20" s="328">
        <v>13</v>
      </c>
      <c r="G20" s="328">
        <v>51</v>
      </c>
      <c r="H20" s="328"/>
      <c r="I20" s="328">
        <v>38</v>
      </c>
      <c r="J20" s="328">
        <v>7</v>
      </c>
      <c r="K20" s="340">
        <f t="shared" si="0"/>
        <v>117</v>
      </c>
      <c r="L20" s="201"/>
      <c r="M20" s="201"/>
      <c r="N20" s="201"/>
      <c r="O20" s="201"/>
      <c r="P20" s="201"/>
      <c r="Q20" s="201"/>
      <c r="R20" s="201"/>
      <c r="S20" s="201"/>
      <c r="T20" s="201"/>
      <c r="U20" s="201"/>
      <c r="V20" s="201"/>
      <c r="W20" s="201"/>
      <c r="X20" s="201"/>
      <c r="Y20" s="201"/>
      <c r="Z20" s="201"/>
      <c r="AA20" s="201"/>
      <c r="AB20" s="201"/>
      <c r="AC20" s="201"/>
      <c r="AD20" s="201"/>
      <c r="AE20" s="201"/>
      <c r="AF20" s="201"/>
      <c r="AG20" s="201"/>
      <c r="AH20" s="201"/>
      <c r="AI20" s="201"/>
      <c r="AJ20" s="201"/>
      <c r="AK20" s="201"/>
      <c r="AL20" s="201"/>
      <c r="AM20" s="201"/>
      <c r="AN20" s="201"/>
      <c r="AO20" s="201"/>
      <c r="AP20" s="201"/>
      <c r="AQ20" s="201"/>
      <c r="AR20" s="201"/>
      <c r="AS20" s="201"/>
      <c r="AT20" s="201"/>
      <c r="AU20" s="201"/>
      <c r="AV20" s="201"/>
      <c r="AW20" s="201"/>
      <c r="AX20" s="201"/>
      <c r="AY20" s="201"/>
      <c r="AZ20" s="201"/>
      <c r="BA20" s="201"/>
      <c r="BB20" s="201"/>
      <c r="BC20" s="201"/>
      <c r="BD20" s="201"/>
      <c r="BE20" s="201"/>
      <c r="BF20" s="201"/>
      <c r="BG20" s="201"/>
      <c r="BH20" s="201"/>
      <c r="BI20" s="201"/>
      <c r="BJ20" s="201"/>
      <c r="BK20" s="201"/>
      <c r="BL20" s="201"/>
      <c r="BM20" s="201"/>
      <c r="BN20" s="201"/>
      <c r="BO20" s="201"/>
      <c r="BP20" s="201"/>
      <c r="BQ20" s="201"/>
      <c r="BR20" s="201"/>
      <c r="BS20" s="201"/>
      <c r="BT20" s="201"/>
      <c r="BU20" s="201"/>
      <c r="BV20" s="201"/>
      <c r="BW20" s="201"/>
      <c r="BX20" s="201"/>
      <c r="BY20" s="201"/>
      <c r="BZ20" s="201"/>
      <c r="CA20" s="201"/>
      <c r="CB20" s="201"/>
      <c r="CC20" s="201"/>
      <c r="CD20" s="201"/>
      <c r="CE20" s="201"/>
      <c r="CF20" s="201"/>
      <c r="CG20" s="201"/>
      <c r="CH20" s="201"/>
      <c r="CI20" s="201"/>
      <c r="CJ20" s="201"/>
      <c r="CK20" s="201"/>
      <c r="CL20" s="201"/>
      <c r="CM20" s="201"/>
      <c r="CN20" s="201"/>
      <c r="CO20" s="201"/>
      <c r="CP20" s="201"/>
      <c r="CQ20" s="201"/>
      <c r="CR20" s="201"/>
      <c r="CS20" s="201"/>
      <c r="CT20" s="201"/>
    </row>
    <row r="21" spans="1:98" customFormat="1" ht="34.15" customHeight="1" x14ac:dyDescent="0.3">
      <c r="A21" s="128">
        <v>6</v>
      </c>
      <c r="B21" s="192" t="s">
        <v>6</v>
      </c>
      <c r="C21" s="326"/>
      <c r="D21" s="326"/>
      <c r="E21" s="326">
        <v>3</v>
      </c>
      <c r="F21" s="326">
        <v>12</v>
      </c>
      <c r="G21" s="326">
        <v>27</v>
      </c>
      <c r="H21" s="326"/>
      <c r="I21" s="326">
        <v>58</v>
      </c>
      <c r="J21" s="326">
        <v>5</v>
      </c>
      <c r="K21" s="340">
        <f t="shared" si="0"/>
        <v>105</v>
      </c>
      <c r="L21" s="201"/>
      <c r="M21" s="201"/>
      <c r="N21" s="201"/>
      <c r="O21" s="201"/>
      <c r="P21" s="201"/>
      <c r="Q21" s="201"/>
      <c r="R21" s="201"/>
      <c r="S21" s="201"/>
      <c r="T21" s="201"/>
      <c r="U21" s="201"/>
      <c r="V21" s="201"/>
      <c r="W21" s="201"/>
      <c r="X21" s="201"/>
      <c r="Y21" s="201"/>
      <c r="Z21" s="201"/>
      <c r="AA21" s="201"/>
      <c r="AB21" s="201"/>
      <c r="AC21" s="201"/>
      <c r="AD21" s="201"/>
      <c r="AE21" s="201"/>
      <c r="AF21" s="201"/>
      <c r="AG21" s="201"/>
      <c r="AH21" s="201"/>
      <c r="AI21" s="201"/>
      <c r="AJ21" s="201"/>
      <c r="AK21" s="201"/>
      <c r="AL21" s="201"/>
      <c r="AM21" s="201"/>
      <c r="AN21" s="201"/>
      <c r="AO21" s="201"/>
      <c r="AP21" s="201"/>
      <c r="AQ21" s="201"/>
      <c r="AR21" s="201"/>
      <c r="AS21" s="201"/>
      <c r="AT21" s="201"/>
      <c r="AU21" s="201"/>
      <c r="AV21" s="201"/>
      <c r="AW21" s="201"/>
      <c r="AX21" s="201"/>
      <c r="AY21" s="201"/>
      <c r="AZ21" s="201"/>
      <c r="BA21" s="201"/>
      <c r="BB21" s="201"/>
      <c r="BC21" s="201"/>
      <c r="BD21" s="201"/>
      <c r="BE21" s="201"/>
      <c r="BF21" s="201"/>
      <c r="BG21" s="201"/>
      <c r="BH21" s="201"/>
      <c r="BI21" s="201"/>
      <c r="BJ21" s="201"/>
      <c r="BK21" s="201"/>
      <c r="BL21" s="201"/>
      <c r="BM21" s="201"/>
      <c r="BN21" s="201"/>
      <c r="BO21" s="201"/>
      <c r="BP21" s="201"/>
      <c r="BQ21" s="201"/>
      <c r="BR21" s="201"/>
      <c r="BS21" s="201"/>
      <c r="BT21" s="201"/>
      <c r="BU21" s="201"/>
      <c r="BV21" s="201"/>
      <c r="BW21" s="201"/>
      <c r="BX21" s="201"/>
      <c r="BY21" s="201"/>
      <c r="BZ21" s="201"/>
      <c r="CA21" s="201"/>
      <c r="CB21" s="201"/>
      <c r="CC21" s="201"/>
      <c r="CD21" s="201"/>
      <c r="CE21" s="201"/>
      <c r="CF21" s="201"/>
      <c r="CG21" s="201"/>
      <c r="CH21" s="201"/>
      <c r="CI21" s="201"/>
      <c r="CJ21" s="201"/>
      <c r="CK21" s="201"/>
      <c r="CL21" s="201"/>
      <c r="CM21" s="201"/>
      <c r="CN21" s="201"/>
      <c r="CO21" s="201"/>
      <c r="CP21" s="201"/>
      <c r="CQ21" s="201"/>
      <c r="CR21" s="201"/>
      <c r="CS21" s="201"/>
      <c r="CT21" s="201"/>
    </row>
    <row r="22" spans="1:98" customFormat="1" ht="34.15" customHeight="1" x14ac:dyDescent="0.3">
      <c r="A22" s="128">
        <v>25</v>
      </c>
      <c r="B22" s="192" t="s">
        <v>40</v>
      </c>
      <c r="C22" s="326">
        <v>1</v>
      </c>
      <c r="D22" s="326">
        <v>14</v>
      </c>
      <c r="E22" s="326"/>
      <c r="F22" s="326">
        <v>3</v>
      </c>
      <c r="G22" s="326">
        <v>41</v>
      </c>
      <c r="H22" s="326"/>
      <c r="I22" s="326">
        <v>39</v>
      </c>
      <c r="J22" s="328">
        <v>3</v>
      </c>
      <c r="K22" s="340">
        <f t="shared" si="0"/>
        <v>101</v>
      </c>
      <c r="L22" s="201"/>
      <c r="M22" s="201"/>
      <c r="N22" s="201"/>
      <c r="O22" s="201"/>
      <c r="P22" s="201"/>
      <c r="Q22" s="201"/>
      <c r="R22" s="201"/>
      <c r="S22" s="201"/>
      <c r="T22" s="201"/>
      <c r="U22" s="201"/>
      <c r="V22" s="201"/>
      <c r="W22" s="201"/>
      <c r="X22" s="201"/>
      <c r="Y22" s="201"/>
      <c r="Z22" s="201"/>
      <c r="AA22" s="201"/>
      <c r="AB22" s="201"/>
      <c r="AC22" s="201"/>
      <c r="AD22" s="201"/>
      <c r="AE22" s="201"/>
      <c r="AF22" s="201"/>
      <c r="AG22" s="201"/>
      <c r="AH22" s="201"/>
      <c r="AI22" s="201"/>
      <c r="AJ22" s="201"/>
      <c r="AK22" s="201"/>
      <c r="AL22" s="201"/>
      <c r="AM22" s="201"/>
      <c r="AN22" s="201"/>
      <c r="AO22" s="201"/>
      <c r="AP22" s="201"/>
      <c r="AQ22" s="201"/>
      <c r="AR22" s="201"/>
      <c r="AS22" s="201"/>
      <c r="AT22" s="201"/>
      <c r="AU22" s="201"/>
      <c r="AV22" s="201"/>
      <c r="AW22" s="201"/>
      <c r="AX22" s="201"/>
      <c r="AY22" s="201"/>
      <c r="AZ22" s="201"/>
      <c r="BA22" s="201"/>
      <c r="BB22" s="201"/>
      <c r="BC22" s="201"/>
      <c r="BD22" s="201"/>
      <c r="BE22" s="201"/>
      <c r="BF22" s="201"/>
      <c r="BG22" s="201"/>
      <c r="BH22" s="201"/>
      <c r="BI22" s="201"/>
      <c r="BJ22" s="201"/>
      <c r="BK22" s="201"/>
      <c r="BL22" s="201"/>
      <c r="BM22" s="201"/>
      <c r="BN22" s="201"/>
      <c r="BO22" s="201"/>
      <c r="BP22" s="201"/>
      <c r="BQ22" s="201"/>
      <c r="BR22" s="201"/>
      <c r="BS22" s="201"/>
      <c r="BT22" s="201"/>
      <c r="BU22" s="201"/>
      <c r="BV22" s="201"/>
      <c r="BW22" s="201"/>
      <c r="BX22" s="201"/>
      <c r="BY22" s="201"/>
      <c r="BZ22" s="201"/>
      <c r="CA22" s="201"/>
      <c r="CB22" s="201"/>
      <c r="CC22" s="201"/>
      <c r="CD22" s="201"/>
      <c r="CE22" s="201"/>
      <c r="CF22" s="201"/>
      <c r="CG22" s="201"/>
      <c r="CH22" s="201"/>
      <c r="CI22" s="201"/>
      <c r="CJ22" s="201"/>
      <c r="CK22" s="201"/>
      <c r="CL22" s="201"/>
      <c r="CM22" s="201"/>
      <c r="CN22" s="201"/>
      <c r="CO22" s="201"/>
      <c r="CP22" s="201"/>
      <c r="CQ22" s="201"/>
      <c r="CR22" s="201"/>
      <c r="CS22" s="201"/>
      <c r="CT22" s="201"/>
    </row>
    <row r="23" spans="1:98" customFormat="1" ht="34.15" customHeight="1" x14ac:dyDescent="0.3">
      <c r="A23" s="128">
        <v>2</v>
      </c>
      <c r="B23" s="242" t="s">
        <v>633</v>
      </c>
      <c r="C23" s="327">
        <v>1</v>
      </c>
      <c r="D23" s="328"/>
      <c r="E23" s="328">
        <v>4</v>
      </c>
      <c r="F23" s="328">
        <v>6</v>
      </c>
      <c r="G23" s="328">
        <v>41</v>
      </c>
      <c r="H23" s="328"/>
      <c r="I23" s="328">
        <v>39</v>
      </c>
      <c r="J23" s="326">
        <v>8</v>
      </c>
      <c r="K23" s="340">
        <f t="shared" si="0"/>
        <v>99</v>
      </c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O23" s="203"/>
      <c r="AP23" s="203"/>
      <c r="AQ23" s="203"/>
      <c r="AR23" s="203"/>
      <c r="AS23" s="203"/>
      <c r="AT23" s="203"/>
      <c r="AU23" s="203"/>
      <c r="AV23" s="203"/>
      <c r="AW23" s="203"/>
      <c r="AX23" s="203"/>
      <c r="AY23" s="203"/>
      <c r="AZ23" s="203"/>
      <c r="BA23" s="203"/>
      <c r="BB23" s="203"/>
      <c r="BC23" s="203"/>
      <c r="BD23" s="203"/>
      <c r="BE23" s="203"/>
      <c r="BF23" s="203"/>
      <c r="BG23" s="203"/>
      <c r="BH23" s="203"/>
      <c r="BI23" s="203"/>
      <c r="BJ23" s="203"/>
      <c r="BK23" s="203"/>
      <c r="BL23" s="203"/>
      <c r="BM23" s="203"/>
      <c r="BN23" s="203"/>
      <c r="BO23" s="203"/>
      <c r="BP23" s="203"/>
      <c r="BQ23" s="203"/>
      <c r="BR23" s="203"/>
      <c r="BS23" s="203"/>
      <c r="BT23" s="203"/>
      <c r="BU23" s="203"/>
      <c r="BV23" s="203"/>
      <c r="BW23" s="203"/>
      <c r="BX23" s="203"/>
      <c r="BY23" s="203"/>
      <c r="BZ23" s="203"/>
      <c r="CA23" s="203"/>
      <c r="CB23" s="203"/>
      <c r="CC23" s="203"/>
      <c r="CD23" s="203"/>
      <c r="CE23" s="203"/>
      <c r="CF23" s="203"/>
      <c r="CG23" s="203"/>
      <c r="CH23" s="203"/>
      <c r="CI23" s="203"/>
      <c r="CJ23" s="203"/>
      <c r="CK23" s="203"/>
      <c r="CL23" s="203"/>
      <c r="CM23" s="203"/>
      <c r="CN23" s="203"/>
      <c r="CO23" s="203"/>
      <c r="CP23" s="203"/>
      <c r="CQ23" s="203"/>
      <c r="CR23" s="203"/>
      <c r="CS23" s="203"/>
      <c r="CT23" s="203"/>
    </row>
    <row r="24" spans="1:98" customFormat="1" ht="34.15" customHeight="1" x14ac:dyDescent="0.3">
      <c r="A24" s="128">
        <v>42</v>
      </c>
      <c r="B24" s="192" t="s">
        <v>618</v>
      </c>
      <c r="C24" s="327">
        <v>3</v>
      </c>
      <c r="D24" s="328">
        <v>4</v>
      </c>
      <c r="E24" s="328">
        <v>9</v>
      </c>
      <c r="F24" s="328">
        <v>8</v>
      </c>
      <c r="G24" s="326">
        <v>42</v>
      </c>
      <c r="H24" s="328"/>
      <c r="I24" s="328">
        <v>25</v>
      </c>
      <c r="J24" s="328">
        <v>8</v>
      </c>
      <c r="K24" s="340">
        <f t="shared" si="0"/>
        <v>99</v>
      </c>
      <c r="L24" s="201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01"/>
      <c r="X24" s="201"/>
      <c r="Y24" s="201"/>
      <c r="Z24" s="201"/>
      <c r="AA24" s="201"/>
      <c r="AB24" s="201"/>
      <c r="AC24" s="201"/>
      <c r="AD24" s="201"/>
      <c r="AE24" s="201"/>
      <c r="AF24" s="201"/>
      <c r="AG24" s="201"/>
      <c r="AH24" s="201"/>
      <c r="AI24" s="201"/>
      <c r="AJ24" s="201"/>
      <c r="AK24" s="201"/>
      <c r="AL24" s="201"/>
      <c r="AM24" s="201"/>
      <c r="AN24" s="201"/>
      <c r="AO24" s="201"/>
      <c r="AP24" s="201"/>
      <c r="AQ24" s="201"/>
      <c r="AR24" s="201"/>
      <c r="AS24" s="201"/>
      <c r="AT24" s="201"/>
      <c r="AU24" s="201"/>
      <c r="AV24" s="201"/>
      <c r="AW24" s="201"/>
      <c r="AX24" s="201"/>
      <c r="AY24" s="201"/>
      <c r="AZ24" s="201"/>
      <c r="BA24" s="201"/>
      <c r="BB24" s="201"/>
      <c r="BC24" s="201"/>
      <c r="BD24" s="201"/>
      <c r="BE24" s="201"/>
      <c r="BF24" s="201"/>
      <c r="BG24" s="201"/>
      <c r="BH24" s="201"/>
      <c r="BI24" s="201"/>
      <c r="BJ24" s="201"/>
      <c r="BK24" s="201"/>
      <c r="BL24" s="201"/>
      <c r="BM24" s="201"/>
      <c r="BN24" s="201"/>
      <c r="BO24" s="201"/>
      <c r="BP24" s="201"/>
      <c r="BQ24" s="201"/>
      <c r="BR24" s="201"/>
      <c r="BS24" s="201"/>
      <c r="BT24" s="201"/>
      <c r="BU24" s="201"/>
      <c r="BV24" s="201"/>
      <c r="BW24" s="201"/>
      <c r="BX24" s="201"/>
      <c r="BY24" s="201"/>
      <c r="BZ24" s="201"/>
      <c r="CA24" s="201"/>
      <c r="CB24" s="201"/>
      <c r="CC24" s="201"/>
      <c r="CD24" s="201"/>
      <c r="CE24" s="201"/>
      <c r="CF24" s="201"/>
      <c r="CG24" s="201"/>
      <c r="CH24" s="201"/>
      <c r="CI24" s="201"/>
      <c r="CJ24" s="201"/>
      <c r="CK24" s="201"/>
      <c r="CL24" s="201"/>
      <c r="CM24" s="201"/>
      <c r="CN24" s="201"/>
      <c r="CO24" s="201"/>
      <c r="CP24" s="201"/>
      <c r="CQ24" s="201"/>
      <c r="CR24" s="201"/>
      <c r="CS24" s="201"/>
      <c r="CT24" s="201"/>
    </row>
    <row r="25" spans="1:98" customFormat="1" ht="34.15" customHeight="1" x14ac:dyDescent="0.3">
      <c r="A25" s="128">
        <v>12</v>
      </c>
      <c r="B25" s="192" t="s">
        <v>36</v>
      </c>
      <c r="C25" s="326"/>
      <c r="D25" s="326"/>
      <c r="E25" s="326">
        <v>7</v>
      </c>
      <c r="F25" s="326">
        <v>6</v>
      </c>
      <c r="G25" s="326">
        <v>33</v>
      </c>
      <c r="H25" s="326"/>
      <c r="I25" s="326">
        <v>49</v>
      </c>
      <c r="J25" s="328"/>
      <c r="K25" s="340">
        <f t="shared" si="0"/>
        <v>95</v>
      </c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  <c r="Z25" s="201"/>
      <c r="AA25" s="201"/>
      <c r="AB25" s="201"/>
      <c r="AC25" s="201"/>
      <c r="AD25" s="201"/>
      <c r="AE25" s="201"/>
      <c r="AF25" s="201"/>
      <c r="AG25" s="201"/>
      <c r="AH25" s="201"/>
      <c r="AI25" s="201"/>
      <c r="AJ25" s="201"/>
      <c r="AK25" s="201"/>
      <c r="AL25" s="201"/>
      <c r="AM25" s="201"/>
      <c r="AN25" s="201"/>
      <c r="AO25" s="201"/>
      <c r="AP25" s="201"/>
      <c r="AQ25" s="201"/>
      <c r="AR25" s="201"/>
      <c r="AS25" s="201"/>
      <c r="AT25" s="201"/>
      <c r="AU25" s="201"/>
      <c r="AV25" s="201"/>
      <c r="AW25" s="201"/>
      <c r="AX25" s="201"/>
      <c r="AY25" s="201"/>
      <c r="AZ25" s="201"/>
      <c r="BA25" s="201"/>
      <c r="BB25" s="201"/>
      <c r="BC25" s="201"/>
      <c r="BD25" s="201"/>
      <c r="BE25" s="201"/>
      <c r="BF25" s="201"/>
      <c r="BG25" s="201"/>
      <c r="BH25" s="201"/>
      <c r="BI25" s="201"/>
      <c r="BJ25" s="201"/>
      <c r="BK25" s="201"/>
      <c r="BL25" s="201"/>
      <c r="BM25" s="201"/>
      <c r="BN25" s="201"/>
      <c r="BO25" s="201"/>
      <c r="BP25" s="201"/>
      <c r="BQ25" s="201"/>
      <c r="BR25" s="201"/>
      <c r="BS25" s="201"/>
      <c r="BT25" s="201"/>
      <c r="BU25" s="201"/>
      <c r="BV25" s="201"/>
      <c r="BW25" s="201"/>
      <c r="BX25" s="201"/>
      <c r="BY25" s="201"/>
      <c r="BZ25" s="201"/>
      <c r="CA25" s="201"/>
      <c r="CB25" s="201"/>
      <c r="CC25" s="201"/>
      <c r="CD25" s="201"/>
      <c r="CE25" s="201"/>
      <c r="CF25" s="201"/>
      <c r="CG25" s="201"/>
      <c r="CH25" s="201"/>
      <c r="CI25" s="201"/>
      <c r="CJ25" s="201"/>
      <c r="CK25" s="201"/>
      <c r="CL25" s="201"/>
      <c r="CM25" s="201"/>
      <c r="CN25" s="201"/>
      <c r="CO25" s="201"/>
      <c r="CP25" s="201"/>
      <c r="CQ25" s="201"/>
      <c r="CR25" s="201"/>
      <c r="CS25" s="201"/>
      <c r="CT25" s="201"/>
    </row>
    <row r="26" spans="1:98" customFormat="1" ht="34.15" customHeight="1" x14ac:dyDescent="0.3">
      <c r="A26" s="128">
        <v>10</v>
      </c>
      <c r="B26" s="192" t="s">
        <v>769</v>
      </c>
      <c r="C26" s="327">
        <v>5</v>
      </c>
      <c r="D26" s="327"/>
      <c r="E26" s="328">
        <v>10</v>
      </c>
      <c r="F26" s="328">
        <v>13</v>
      </c>
      <c r="G26" s="328">
        <v>22</v>
      </c>
      <c r="H26" s="328">
        <v>1</v>
      </c>
      <c r="I26" s="328">
        <v>39</v>
      </c>
      <c r="J26" s="328">
        <v>3</v>
      </c>
      <c r="K26" s="340">
        <f t="shared" si="0"/>
        <v>93</v>
      </c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  <c r="Z26" s="201"/>
      <c r="AA26" s="201"/>
      <c r="AB26" s="201"/>
      <c r="AC26" s="201"/>
      <c r="AD26" s="201"/>
      <c r="AE26" s="201"/>
      <c r="AF26" s="201"/>
      <c r="AG26" s="201"/>
      <c r="AH26" s="201"/>
      <c r="AI26" s="201"/>
      <c r="AJ26" s="201"/>
      <c r="AK26" s="201"/>
      <c r="AL26" s="201"/>
      <c r="AM26" s="201"/>
      <c r="AN26" s="201"/>
      <c r="AO26" s="201"/>
      <c r="AP26" s="201"/>
      <c r="AQ26" s="201"/>
      <c r="AR26" s="201"/>
      <c r="AS26" s="201"/>
      <c r="AT26" s="201"/>
      <c r="AU26" s="201"/>
      <c r="AV26" s="201"/>
      <c r="AW26" s="201"/>
      <c r="AX26" s="201"/>
      <c r="AY26" s="201"/>
      <c r="AZ26" s="201"/>
      <c r="BA26" s="201"/>
      <c r="BB26" s="201"/>
      <c r="BC26" s="201"/>
      <c r="BD26" s="201"/>
      <c r="BE26" s="201"/>
      <c r="BF26" s="201"/>
      <c r="BG26" s="201"/>
      <c r="BH26" s="201"/>
      <c r="BI26" s="201"/>
      <c r="BJ26" s="201"/>
      <c r="BK26" s="201"/>
      <c r="BL26" s="201"/>
      <c r="BM26" s="201"/>
      <c r="BN26" s="201"/>
      <c r="BO26" s="201"/>
      <c r="BP26" s="201"/>
      <c r="BQ26" s="201"/>
      <c r="BR26" s="201"/>
      <c r="BS26" s="201"/>
      <c r="BT26" s="201"/>
      <c r="BU26" s="201"/>
      <c r="BV26" s="201"/>
      <c r="BW26" s="201"/>
      <c r="BX26" s="201"/>
      <c r="BY26" s="201"/>
      <c r="BZ26" s="201"/>
      <c r="CA26" s="201"/>
      <c r="CB26" s="201"/>
      <c r="CC26" s="201"/>
      <c r="CD26" s="201"/>
      <c r="CE26" s="201"/>
      <c r="CF26" s="201"/>
      <c r="CG26" s="201"/>
      <c r="CH26" s="201"/>
      <c r="CI26" s="201"/>
      <c r="CJ26" s="201"/>
      <c r="CK26" s="201"/>
      <c r="CL26" s="201"/>
      <c r="CM26" s="201"/>
      <c r="CN26" s="201"/>
      <c r="CO26" s="201"/>
      <c r="CP26" s="201"/>
      <c r="CQ26" s="201"/>
      <c r="CR26" s="201"/>
      <c r="CS26" s="201"/>
      <c r="CT26" s="201"/>
    </row>
    <row r="27" spans="1:98" customFormat="1" ht="34.15" customHeight="1" x14ac:dyDescent="0.3">
      <c r="A27" s="128">
        <v>16</v>
      </c>
      <c r="B27" s="192" t="s">
        <v>451</v>
      </c>
      <c r="C27" s="328"/>
      <c r="D27" s="328"/>
      <c r="E27" s="328">
        <v>6</v>
      </c>
      <c r="F27" s="328">
        <v>4</v>
      </c>
      <c r="G27" s="328">
        <v>21</v>
      </c>
      <c r="H27" s="328">
        <v>2</v>
      </c>
      <c r="I27" s="328">
        <v>51</v>
      </c>
      <c r="J27" s="326">
        <v>8</v>
      </c>
      <c r="K27" s="340">
        <f t="shared" si="0"/>
        <v>92</v>
      </c>
      <c r="L27" s="201"/>
      <c r="M27" s="201"/>
      <c r="N27" s="201"/>
      <c r="O27" s="201"/>
      <c r="P27" s="201"/>
      <c r="Q27" s="201"/>
      <c r="R27" s="201"/>
      <c r="S27" s="201"/>
      <c r="T27" s="201"/>
      <c r="U27" s="201"/>
      <c r="V27" s="201"/>
      <c r="W27" s="201"/>
      <c r="X27" s="201"/>
      <c r="Y27" s="201"/>
      <c r="Z27" s="201"/>
      <c r="AA27" s="201"/>
      <c r="AB27" s="201"/>
      <c r="AC27" s="201"/>
      <c r="AD27" s="201"/>
      <c r="AE27" s="201"/>
      <c r="AF27" s="201"/>
      <c r="AG27" s="201"/>
      <c r="AH27" s="201"/>
      <c r="AI27" s="201"/>
      <c r="AJ27" s="201"/>
      <c r="AK27" s="201"/>
      <c r="AL27" s="201"/>
      <c r="AM27" s="201"/>
      <c r="AN27" s="201"/>
      <c r="AO27" s="201"/>
      <c r="AP27" s="201"/>
      <c r="AQ27" s="201"/>
      <c r="AR27" s="201"/>
      <c r="AS27" s="201"/>
      <c r="AT27" s="201"/>
      <c r="AU27" s="201"/>
      <c r="AV27" s="201"/>
      <c r="AW27" s="201"/>
      <c r="AX27" s="201"/>
      <c r="AY27" s="201"/>
      <c r="AZ27" s="201"/>
      <c r="BA27" s="201"/>
      <c r="BB27" s="201"/>
      <c r="BC27" s="201"/>
      <c r="BD27" s="201"/>
      <c r="BE27" s="201"/>
      <c r="BF27" s="201"/>
      <c r="BG27" s="201"/>
      <c r="BH27" s="201"/>
      <c r="BI27" s="201"/>
      <c r="BJ27" s="201"/>
      <c r="BK27" s="201"/>
      <c r="BL27" s="201"/>
      <c r="BM27" s="201"/>
      <c r="BN27" s="201"/>
      <c r="BO27" s="201"/>
      <c r="BP27" s="201"/>
      <c r="BQ27" s="201"/>
      <c r="BR27" s="201"/>
      <c r="BS27" s="201"/>
      <c r="BT27" s="201"/>
      <c r="BU27" s="201"/>
      <c r="BV27" s="201"/>
      <c r="BW27" s="201"/>
      <c r="BX27" s="201"/>
      <c r="BY27" s="201"/>
      <c r="BZ27" s="201"/>
      <c r="CA27" s="201"/>
      <c r="CB27" s="201"/>
      <c r="CC27" s="201"/>
      <c r="CD27" s="201"/>
      <c r="CE27" s="201"/>
      <c r="CF27" s="201"/>
      <c r="CG27" s="201"/>
      <c r="CH27" s="201"/>
      <c r="CI27" s="201"/>
      <c r="CJ27" s="201"/>
      <c r="CK27" s="201"/>
      <c r="CL27" s="201"/>
      <c r="CM27" s="201"/>
      <c r="CN27" s="201"/>
      <c r="CO27" s="201"/>
      <c r="CP27" s="201"/>
      <c r="CQ27" s="201"/>
      <c r="CR27" s="201"/>
      <c r="CS27" s="201"/>
      <c r="CT27" s="201"/>
    </row>
    <row r="28" spans="1:98" customFormat="1" ht="34.15" customHeight="1" x14ac:dyDescent="0.3">
      <c r="A28" s="128">
        <v>15</v>
      </c>
      <c r="B28" s="192" t="s">
        <v>446</v>
      </c>
      <c r="C28" s="326"/>
      <c r="D28" s="326"/>
      <c r="E28" s="326">
        <v>1</v>
      </c>
      <c r="F28" s="326">
        <v>14</v>
      </c>
      <c r="G28" s="326">
        <v>29</v>
      </c>
      <c r="H28" s="326">
        <v>1</v>
      </c>
      <c r="I28" s="326">
        <v>42</v>
      </c>
      <c r="J28" s="328">
        <v>2</v>
      </c>
      <c r="K28" s="340">
        <f t="shared" si="0"/>
        <v>89</v>
      </c>
      <c r="L28" s="201"/>
      <c r="M28" s="201"/>
      <c r="N28" s="201"/>
      <c r="O28" s="201"/>
      <c r="P28" s="201"/>
      <c r="Q28" s="201"/>
      <c r="R28" s="201"/>
      <c r="S28" s="201"/>
      <c r="T28" s="201"/>
      <c r="U28" s="201"/>
      <c r="V28" s="201"/>
      <c r="W28" s="201"/>
      <c r="X28" s="201"/>
      <c r="Y28" s="201"/>
      <c r="Z28" s="201"/>
      <c r="AA28" s="201"/>
      <c r="AB28" s="201"/>
      <c r="AC28" s="201"/>
      <c r="AD28" s="201"/>
      <c r="AE28" s="201"/>
      <c r="AF28" s="201"/>
      <c r="AG28" s="201"/>
      <c r="AH28" s="201"/>
      <c r="AI28" s="201"/>
      <c r="AJ28" s="201"/>
      <c r="AK28" s="201"/>
      <c r="AL28" s="201"/>
      <c r="AM28" s="201"/>
      <c r="AN28" s="201"/>
      <c r="AO28" s="201"/>
      <c r="AP28" s="201"/>
      <c r="AQ28" s="201"/>
      <c r="AR28" s="201"/>
      <c r="AS28" s="201"/>
      <c r="AT28" s="201"/>
      <c r="AU28" s="201"/>
      <c r="AV28" s="201"/>
      <c r="AW28" s="201"/>
      <c r="AX28" s="201"/>
      <c r="AY28" s="201"/>
      <c r="AZ28" s="201"/>
      <c r="BA28" s="201"/>
      <c r="BB28" s="201"/>
      <c r="BC28" s="201"/>
      <c r="BD28" s="201"/>
      <c r="BE28" s="201"/>
      <c r="BF28" s="201"/>
      <c r="BG28" s="201"/>
      <c r="BH28" s="201"/>
      <c r="BI28" s="201"/>
      <c r="BJ28" s="201"/>
      <c r="BK28" s="201"/>
      <c r="BL28" s="201"/>
      <c r="BM28" s="201"/>
      <c r="BN28" s="201"/>
      <c r="BO28" s="201"/>
      <c r="BP28" s="201"/>
      <c r="BQ28" s="201"/>
      <c r="BR28" s="201"/>
      <c r="BS28" s="201"/>
      <c r="BT28" s="201"/>
      <c r="BU28" s="201"/>
      <c r="BV28" s="201"/>
      <c r="BW28" s="201"/>
      <c r="BX28" s="201"/>
      <c r="BY28" s="201"/>
      <c r="BZ28" s="201"/>
      <c r="CA28" s="201"/>
      <c r="CB28" s="201"/>
      <c r="CC28" s="201"/>
      <c r="CD28" s="201"/>
      <c r="CE28" s="201"/>
      <c r="CF28" s="201"/>
      <c r="CG28" s="201"/>
      <c r="CH28" s="201"/>
      <c r="CI28" s="201"/>
      <c r="CJ28" s="201"/>
      <c r="CK28" s="201"/>
      <c r="CL28" s="201"/>
      <c r="CM28" s="201"/>
      <c r="CN28" s="201"/>
      <c r="CO28" s="201"/>
      <c r="CP28" s="201"/>
      <c r="CQ28" s="201"/>
      <c r="CR28" s="201"/>
      <c r="CS28" s="201"/>
      <c r="CT28" s="201"/>
    </row>
    <row r="29" spans="1:98" customFormat="1" ht="34.15" customHeight="1" x14ac:dyDescent="0.3">
      <c r="A29" s="128">
        <v>21</v>
      </c>
      <c r="B29" s="192" t="s">
        <v>0</v>
      </c>
      <c r="C29" s="326"/>
      <c r="D29" s="326">
        <v>3</v>
      </c>
      <c r="E29" s="326">
        <v>2</v>
      </c>
      <c r="F29" s="326">
        <v>6</v>
      </c>
      <c r="G29" s="326">
        <v>33</v>
      </c>
      <c r="H29" s="326"/>
      <c r="I29" s="326">
        <v>40</v>
      </c>
      <c r="J29" s="328">
        <v>3</v>
      </c>
      <c r="K29" s="340">
        <f t="shared" si="0"/>
        <v>87</v>
      </c>
      <c r="L29" s="201"/>
      <c r="M29" s="201"/>
      <c r="N29" s="201"/>
      <c r="O29" s="201"/>
      <c r="P29" s="201"/>
      <c r="Q29" s="201"/>
      <c r="R29" s="201"/>
      <c r="S29" s="201"/>
      <c r="T29" s="201"/>
      <c r="U29" s="201"/>
      <c r="V29" s="201"/>
      <c r="W29" s="201"/>
      <c r="X29" s="201"/>
      <c r="Y29" s="201"/>
      <c r="Z29" s="201"/>
      <c r="AA29" s="201"/>
      <c r="AB29" s="201"/>
      <c r="AC29" s="201"/>
      <c r="AD29" s="201"/>
      <c r="AE29" s="201"/>
      <c r="AF29" s="201"/>
      <c r="AG29" s="201"/>
      <c r="AH29" s="201"/>
      <c r="AI29" s="201"/>
      <c r="AJ29" s="201"/>
      <c r="AK29" s="201"/>
      <c r="AL29" s="201"/>
      <c r="AM29" s="201"/>
      <c r="AN29" s="201"/>
      <c r="AO29" s="201"/>
      <c r="AP29" s="201"/>
      <c r="AQ29" s="201"/>
      <c r="AR29" s="201"/>
      <c r="AS29" s="201"/>
      <c r="AT29" s="201"/>
      <c r="AU29" s="201"/>
      <c r="AV29" s="201"/>
      <c r="AW29" s="201"/>
      <c r="AX29" s="201"/>
      <c r="AY29" s="201"/>
      <c r="AZ29" s="201"/>
      <c r="BA29" s="201"/>
      <c r="BB29" s="201"/>
      <c r="BC29" s="201"/>
      <c r="BD29" s="201"/>
      <c r="BE29" s="201"/>
      <c r="BF29" s="201"/>
      <c r="BG29" s="201"/>
      <c r="BH29" s="201"/>
      <c r="BI29" s="201"/>
      <c r="BJ29" s="201"/>
      <c r="BK29" s="201"/>
      <c r="BL29" s="201"/>
      <c r="BM29" s="201"/>
      <c r="BN29" s="201"/>
      <c r="BO29" s="201"/>
      <c r="BP29" s="201"/>
      <c r="BQ29" s="201"/>
      <c r="BR29" s="201"/>
      <c r="BS29" s="201"/>
      <c r="BT29" s="201"/>
      <c r="BU29" s="201"/>
      <c r="BV29" s="201"/>
      <c r="BW29" s="201"/>
      <c r="BX29" s="201"/>
      <c r="BY29" s="201"/>
      <c r="BZ29" s="201"/>
      <c r="CA29" s="201"/>
      <c r="CB29" s="201"/>
      <c r="CC29" s="201"/>
      <c r="CD29" s="201"/>
      <c r="CE29" s="201"/>
      <c r="CF29" s="201"/>
      <c r="CG29" s="201"/>
      <c r="CH29" s="201"/>
      <c r="CI29" s="201"/>
      <c r="CJ29" s="201"/>
      <c r="CK29" s="201"/>
      <c r="CL29" s="201"/>
      <c r="CM29" s="201"/>
      <c r="CN29" s="201"/>
      <c r="CO29" s="201"/>
      <c r="CP29" s="201"/>
      <c r="CQ29" s="201"/>
      <c r="CR29" s="201"/>
      <c r="CS29" s="201"/>
      <c r="CT29" s="201"/>
    </row>
    <row r="30" spans="1:98" customFormat="1" ht="34.15" customHeight="1" x14ac:dyDescent="0.3">
      <c r="A30" s="128">
        <v>29</v>
      </c>
      <c r="B30" s="192" t="s">
        <v>276</v>
      </c>
      <c r="C30" s="326"/>
      <c r="D30" s="326">
        <v>6</v>
      </c>
      <c r="E30" s="326">
        <v>3</v>
      </c>
      <c r="F30" s="326">
        <v>5</v>
      </c>
      <c r="G30" s="326">
        <v>27</v>
      </c>
      <c r="H30" s="326">
        <v>1</v>
      </c>
      <c r="I30" s="326">
        <v>43</v>
      </c>
      <c r="J30" s="328">
        <v>1</v>
      </c>
      <c r="K30" s="340">
        <f t="shared" si="0"/>
        <v>86</v>
      </c>
      <c r="L30" s="201"/>
      <c r="M30" s="201"/>
      <c r="N30" s="201"/>
      <c r="O30" s="201"/>
      <c r="P30" s="201"/>
      <c r="Q30" s="201"/>
      <c r="R30" s="201"/>
      <c r="S30" s="201"/>
      <c r="T30" s="201"/>
      <c r="U30" s="201"/>
      <c r="V30" s="201"/>
      <c r="W30" s="201"/>
      <c r="X30" s="201"/>
      <c r="Y30" s="201"/>
      <c r="Z30" s="201"/>
      <c r="AA30" s="201"/>
      <c r="AB30" s="201"/>
      <c r="AC30" s="201"/>
      <c r="AD30" s="201"/>
      <c r="AE30" s="201"/>
      <c r="AF30" s="201"/>
      <c r="AG30" s="201"/>
      <c r="AH30" s="201"/>
      <c r="AI30" s="201"/>
      <c r="AJ30" s="201"/>
      <c r="AK30" s="201"/>
      <c r="AL30" s="201"/>
      <c r="AM30" s="201"/>
      <c r="AN30" s="201"/>
      <c r="AO30" s="201"/>
      <c r="AP30" s="201"/>
      <c r="AQ30" s="201"/>
      <c r="AR30" s="201"/>
      <c r="AS30" s="201"/>
      <c r="AT30" s="201"/>
      <c r="AU30" s="201"/>
      <c r="AV30" s="201"/>
      <c r="AW30" s="201"/>
      <c r="AX30" s="201"/>
      <c r="AY30" s="201"/>
      <c r="AZ30" s="201"/>
      <c r="BA30" s="201"/>
      <c r="BB30" s="201"/>
      <c r="BC30" s="201"/>
      <c r="BD30" s="201"/>
      <c r="BE30" s="201"/>
      <c r="BF30" s="201"/>
      <c r="BG30" s="201"/>
      <c r="BH30" s="201"/>
      <c r="BI30" s="201"/>
      <c r="BJ30" s="201"/>
      <c r="BK30" s="201"/>
      <c r="BL30" s="201"/>
      <c r="BM30" s="201"/>
      <c r="BN30" s="201"/>
      <c r="BO30" s="201"/>
      <c r="BP30" s="201"/>
      <c r="BQ30" s="201"/>
      <c r="BR30" s="201"/>
      <c r="BS30" s="201"/>
      <c r="BT30" s="201"/>
      <c r="BU30" s="201"/>
      <c r="BV30" s="201"/>
      <c r="BW30" s="201"/>
      <c r="BX30" s="201"/>
      <c r="BY30" s="201"/>
      <c r="BZ30" s="201"/>
      <c r="CA30" s="201"/>
      <c r="CB30" s="201"/>
      <c r="CC30" s="201"/>
      <c r="CD30" s="201"/>
      <c r="CE30" s="201"/>
      <c r="CF30" s="201"/>
      <c r="CG30" s="201"/>
      <c r="CH30" s="201"/>
      <c r="CI30" s="201"/>
      <c r="CJ30" s="201"/>
      <c r="CK30" s="201"/>
      <c r="CL30" s="201"/>
      <c r="CM30" s="201"/>
      <c r="CN30" s="201"/>
      <c r="CO30" s="201"/>
      <c r="CP30" s="201"/>
      <c r="CQ30" s="201"/>
      <c r="CR30" s="201"/>
      <c r="CS30" s="201"/>
      <c r="CT30" s="201"/>
    </row>
    <row r="31" spans="1:98" customFormat="1" ht="34.15" customHeight="1" x14ac:dyDescent="0.3">
      <c r="A31" s="128">
        <v>8</v>
      </c>
      <c r="B31" s="192" t="s">
        <v>677</v>
      </c>
      <c r="C31" s="327">
        <v>1</v>
      </c>
      <c r="D31" s="328"/>
      <c r="E31" s="328">
        <v>3</v>
      </c>
      <c r="F31" s="328">
        <v>6</v>
      </c>
      <c r="G31" s="328">
        <v>50</v>
      </c>
      <c r="H31" s="328"/>
      <c r="I31" s="328">
        <v>19</v>
      </c>
      <c r="J31" s="328">
        <v>5</v>
      </c>
      <c r="K31" s="340">
        <f t="shared" si="0"/>
        <v>84</v>
      </c>
      <c r="L31" s="201"/>
      <c r="M31" s="201"/>
      <c r="N31" s="201"/>
      <c r="O31" s="201"/>
      <c r="P31" s="201"/>
      <c r="Q31" s="201"/>
      <c r="R31" s="201"/>
      <c r="S31" s="201"/>
      <c r="T31" s="201"/>
      <c r="U31" s="201"/>
      <c r="V31" s="201"/>
      <c r="W31" s="201"/>
      <c r="X31" s="201"/>
      <c r="Y31" s="201"/>
      <c r="Z31" s="201"/>
      <c r="AA31" s="201"/>
      <c r="AB31" s="201"/>
      <c r="AC31" s="201"/>
      <c r="AD31" s="201"/>
      <c r="AE31" s="201"/>
      <c r="AF31" s="201"/>
      <c r="AG31" s="201"/>
      <c r="AH31" s="201"/>
      <c r="AI31" s="201"/>
      <c r="AJ31" s="201"/>
      <c r="AK31" s="201"/>
      <c r="AL31" s="201"/>
      <c r="AM31" s="201"/>
      <c r="AN31" s="201"/>
      <c r="AO31" s="201"/>
      <c r="AP31" s="201"/>
      <c r="AQ31" s="201"/>
      <c r="AR31" s="201"/>
      <c r="AS31" s="201"/>
      <c r="AT31" s="201"/>
      <c r="AU31" s="201"/>
      <c r="AV31" s="201"/>
      <c r="AW31" s="201"/>
      <c r="AX31" s="201"/>
      <c r="AY31" s="201"/>
      <c r="AZ31" s="201"/>
      <c r="BA31" s="201"/>
      <c r="BB31" s="201"/>
      <c r="BC31" s="201"/>
      <c r="BD31" s="201"/>
      <c r="BE31" s="201"/>
      <c r="BF31" s="201"/>
      <c r="BG31" s="201"/>
      <c r="BH31" s="201"/>
      <c r="BI31" s="201"/>
      <c r="BJ31" s="201"/>
      <c r="BK31" s="201"/>
      <c r="BL31" s="201"/>
      <c r="BM31" s="201"/>
      <c r="BN31" s="201"/>
      <c r="BO31" s="201"/>
      <c r="BP31" s="201"/>
      <c r="BQ31" s="201"/>
      <c r="BR31" s="201"/>
      <c r="BS31" s="201"/>
      <c r="BT31" s="201"/>
      <c r="BU31" s="201"/>
      <c r="BV31" s="201"/>
      <c r="BW31" s="201"/>
      <c r="BX31" s="201"/>
      <c r="BY31" s="201"/>
      <c r="BZ31" s="201"/>
      <c r="CA31" s="201"/>
      <c r="CB31" s="201"/>
      <c r="CC31" s="201"/>
      <c r="CD31" s="201"/>
      <c r="CE31" s="201"/>
      <c r="CF31" s="201"/>
      <c r="CG31" s="201"/>
      <c r="CH31" s="201"/>
      <c r="CI31" s="201"/>
      <c r="CJ31" s="201"/>
      <c r="CK31" s="201"/>
      <c r="CL31" s="201"/>
      <c r="CM31" s="201"/>
      <c r="CN31" s="201"/>
      <c r="CO31" s="201"/>
      <c r="CP31" s="201"/>
      <c r="CQ31" s="201"/>
      <c r="CR31" s="201"/>
      <c r="CS31" s="201"/>
      <c r="CT31" s="201"/>
    </row>
    <row r="32" spans="1:98" customFormat="1" ht="34.15" customHeight="1" x14ac:dyDescent="0.3">
      <c r="A32" s="128">
        <v>33</v>
      </c>
      <c r="B32" s="192" t="s">
        <v>647</v>
      </c>
      <c r="C32" s="327">
        <v>6</v>
      </c>
      <c r="D32" s="328"/>
      <c r="E32" s="328"/>
      <c r="F32" s="328">
        <v>3</v>
      </c>
      <c r="G32" s="328">
        <v>27</v>
      </c>
      <c r="H32" s="328"/>
      <c r="I32" s="328">
        <v>32</v>
      </c>
      <c r="J32" s="328">
        <v>5</v>
      </c>
      <c r="K32" s="340">
        <f t="shared" si="0"/>
        <v>73</v>
      </c>
      <c r="L32" s="201"/>
      <c r="M32" s="201"/>
      <c r="N32" s="201"/>
      <c r="O32" s="201"/>
      <c r="P32" s="201"/>
      <c r="Q32" s="201"/>
      <c r="R32" s="201"/>
      <c r="S32" s="201"/>
      <c r="T32" s="201"/>
      <c r="U32" s="201"/>
      <c r="V32" s="201"/>
      <c r="W32" s="201"/>
      <c r="X32" s="201"/>
      <c r="Y32" s="201"/>
      <c r="Z32" s="201"/>
      <c r="AA32" s="201"/>
      <c r="AB32" s="201"/>
      <c r="AC32" s="201"/>
      <c r="AD32" s="201"/>
      <c r="AE32" s="201"/>
      <c r="AF32" s="201"/>
      <c r="AG32" s="201"/>
      <c r="AH32" s="201"/>
      <c r="AI32" s="201"/>
      <c r="AJ32" s="201"/>
      <c r="AK32" s="201"/>
      <c r="AL32" s="201"/>
      <c r="AM32" s="201"/>
      <c r="AN32" s="201"/>
      <c r="AO32" s="201"/>
      <c r="AP32" s="201"/>
      <c r="AQ32" s="201"/>
      <c r="AR32" s="201"/>
      <c r="AS32" s="201"/>
      <c r="AT32" s="201"/>
      <c r="AU32" s="201"/>
      <c r="AV32" s="201"/>
      <c r="AW32" s="201"/>
      <c r="AX32" s="201"/>
      <c r="AY32" s="201"/>
      <c r="AZ32" s="201"/>
      <c r="BA32" s="201"/>
      <c r="BB32" s="201"/>
      <c r="BC32" s="201"/>
      <c r="BD32" s="201"/>
      <c r="BE32" s="201"/>
      <c r="BF32" s="201"/>
      <c r="BG32" s="201"/>
      <c r="BH32" s="201"/>
      <c r="BI32" s="201"/>
      <c r="BJ32" s="201"/>
      <c r="BK32" s="201"/>
      <c r="BL32" s="201"/>
      <c r="BM32" s="201"/>
      <c r="BN32" s="201"/>
      <c r="BO32" s="201"/>
      <c r="BP32" s="201"/>
      <c r="BQ32" s="201"/>
      <c r="BR32" s="201"/>
      <c r="BS32" s="201"/>
      <c r="BT32" s="201"/>
      <c r="BU32" s="201"/>
      <c r="BV32" s="201"/>
      <c r="BW32" s="201"/>
      <c r="BX32" s="201"/>
      <c r="BY32" s="201"/>
      <c r="BZ32" s="201"/>
      <c r="CA32" s="201"/>
      <c r="CB32" s="201"/>
      <c r="CC32" s="201"/>
      <c r="CD32" s="201"/>
      <c r="CE32" s="201"/>
      <c r="CF32" s="201"/>
      <c r="CG32" s="201"/>
      <c r="CH32" s="201"/>
      <c r="CI32" s="201"/>
      <c r="CJ32" s="201"/>
      <c r="CK32" s="201"/>
      <c r="CL32" s="201"/>
      <c r="CM32" s="201"/>
      <c r="CN32" s="201"/>
      <c r="CO32" s="201"/>
      <c r="CP32" s="201"/>
      <c r="CQ32" s="201"/>
      <c r="CR32" s="201"/>
      <c r="CS32" s="201"/>
      <c r="CT32" s="201"/>
    </row>
    <row r="33" spans="1:98" s="203" customFormat="1" ht="34.15" customHeight="1" x14ac:dyDescent="0.3">
      <c r="A33" s="128">
        <v>14</v>
      </c>
      <c r="B33" s="192" t="s">
        <v>454</v>
      </c>
      <c r="C33" s="328"/>
      <c r="D33" s="328"/>
      <c r="E33" s="328">
        <v>2</v>
      </c>
      <c r="F33" s="328">
        <v>9</v>
      </c>
      <c r="G33" s="328">
        <v>25</v>
      </c>
      <c r="H33" s="328">
        <v>1</v>
      </c>
      <c r="I33" s="328">
        <v>31</v>
      </c>
      <c r="J33" s="328">
        <v>4</v>
      </c>
      <c r="K33" s="340">
        <f t="shared" si="0"/>
        <v>72</v>
      </c>
      <c r="L33" s="201"/>
      <c r="M33" s="201"/>
      <c r="N33" s="201"/>
      <c r="O33" s="201"/>
      <c r="P33" s="201"/>
      <c r="Q33" s="201"/>
      <c r="R33" s="201"/>
      <c r="S33" s="201"/>
      <c r="T33" s="201"/>
      <c r="U33" s="201"/>
      <c r="V33" s="201"/>
      <c r="W33" s="201"/>
      <c r="X33" s="201"/>
      <c r="Y33" s="201"/>
      <c r="Z33" s="201"/>
      <c r="AA33" s="201"/>
      <c r="AB33" s="201"/>
      <c r="AC33" s="201"/>
      <c r="AD33" s="201"/>
      <c r="AE33" s="201"/>
      <c r="AF33" s="201"/>
      <c r="AG33" s="201"/>
      <c r="AH33" s="201"/>
      <c r="AI33" s="201"/>
      <c r="AJ33" s="201"/>
      <c r="AK33" s="201"/>
      <c r="AL33" s="201"/>
      <c r="AM33" s="201"/>
      <c r="AN33" s="201"/>
      <c r="AO33" s="201"/>
      <c r="AP33" s="201"/>
      <c r="AQ33" s="201"/>
      <c r="AR33" s="201"/>
      <c r="AS33" s="201"/>
      <c r="AT33" s="201"/>
      <c r="AU33" s="201"/>
      <c r="AV33" s="201"/>
      <c r="AW33" s="201"/>
      <c r="AX33" s="201"/>
      <c r="AY33" s="201"/>
      <c r="AZ33" s="201"/>
      <c r="BA33" s="201"/>
      <c r="BB33" s="201"/>
      <c r="BC33" s="201"/>
      <c r="BD33" s="201"/>
      <c r="BE33" s="201"/>
      <c r="BF33" s="201"/>
      <c r="BG33" s="201"/>
      <c r="BH33" s="201"/>
      <c r="BI33" s="201"/>
      <c r="BJ33" s="201"/>
      <c r="BK33" s="201"/>
      <c r="BL33" s="201"/>
      <c r="BM33" s="201"/>
      <c r="BN33" s="201"/>
      <c r="BO33" s="201"/>
      <c r="BP33" s="201"/>
      <c r="BQ33" s="201"/>
      <c r="BR33" s="201"/>
      <c r="BS33" s="201"/>
      <c r="BT33" s="201"/>
      <c r="BU33" s="201"/>
      <c r="BV33" s="201"/>
      <c r="BW33" s="201"/>
      <c r="BX33" s="201"/>
      <c r="BY33" s="201"/>
      <c r="BZ33" s="201"/>
      <c r="CA33" s="201"/>
      <c r="CB33" s="201"/>
      <c r="CC33" s="201"/>
      <c r="CD33" s="201"/>
      <c r="CE33" s="201"/>
      <c r="CF33" s="201"/>
      <c r="CG33" s="201"/>
      <c r="CH33" s="201"/>
      <c r="CI33" s="201"/>
      <c r="CJ33" s="201"/>
      <c r="CK33" s="201"/>
      <c r="CL33" s="201"/>
      <c r="CM33" s="201"/>
      <c r="CN33" s="201"/>
      <c r="CO33" s="201"/>
      <c r="CP33" s="201"/>
      <c r="CQ33" s="201"/>
      <c r="CR33" s="201"/>
      <c r="CS33" s="201"/>
      <c r="CT33" s="201"/>
    </row>
    <row r="34" spans="1:98" customFormat="1" ht="34.15" customHeight="1" x14ac:dyDescent="0.3">
      <c r="A34" s="128">
        <v>37</v>
      </c>
      <c r="B34" s="192" t="s">
        <v>421</v>
      </c>
      <c r="C34" s="326"/>
      <c r="D34" s="326">
        <v>4</v>
      </c>
      <c r="E34" s="326">
        <v>2</v>
      </c>
      <c r="F34" s="326">
        <v>10</v>
      </c>
      <c r="G34" s="326">
        <v>15</v>
      </c>
      <c r="H34" s="326"/>
      <c r="I34" s="326">
        <v>31</v>
      </c>
      <c r="J34" s="328">
        <v>2</v>
      </c>
      <c r="K34" s="340">
        <f t="shared" si="0"/>
        <v>64</v>
      </c>
      <c r="L34" s="201"/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1"/>
      <c r="X34" s="201"/>
      <c r="Y34" s="201"/>
      <c r="Z34" s="201"/>
      <c r="AA34" s="201"/>
      <c r="AB34" s="201"/>
      <c r="AC34" s="201"/>
      <c r="AD34" s="201"/>
      <c r="AE34" s="201"/>
      <c r="AF34" s="201"/>
      <c r="AG34" s="201"/>
      <c r="AH34" s="201"/>
      <c r="AI34" s="201"/>
      <c r="AJ34" s="201"/>
      <c r="AK34" s="201"/>
      <c r="AL34" s="201"/>
      <c r="AM34" s="201"/>
      <c r="AN34" s="201"/>
      <c r="AO34" s="201"/>
      <c r="AP34" s="201"/>
      <c r="AQ34" s="201"/>
      <c r="AR34" s="201"/>
      <c r="AS34" s="201"/>
      <c r="AT34" s="201"/>
      <c r="AU34" s="201"/>
      <c r="AV34" s="201"/>
      <c r="AW34" s="201"/>
      <c r="AX34" s="201"/>
      <c r="AY34" s="201"/>
      <c r="AZ34" s="201"/>
      <c r="BA34" s="201"/>
      <c r="BB34" s="201"/>
      <c r="BC34" s="201"/>
      <c r="BD34" s="201"/>
      <c r="BE34" s="201"/>
      <c r="BF34" s="201"/>
      <c r="BG34" s="201"/>
      <c r="BH34" s="201"/>
      <c r="BI34" s="201"/>
      <c r="BJ34" s="201"/>
      <c r="BK34" s="201"/>
      <c r="BL34" s="201"/>
      <c r="BM34" s="201"/>
      <c r="BN34" s="201"/>
      <c r="BO34" s="201"/>
      <c r="BP34" s="201"/>
      <c r="BQ34" s="201"/>
      <c r="BR34" s="201"/>
      <c r="BS34" s="201"/>
      <c r="BT34" s="201"/>
      <c r="BU34" s="201"/>
      <c r="BV34" s="201"/>
      <c r="BW34" s="201"/>
      <c r="BX34" s="201"/>
      <c r="BY34" s="201"/>
      <c r="BZ34" s="201"/>
      <c r="CA34" s="201"/>
      <c r="CB34" s="201"/>
      <c r="CC34" s="201"/>
      <c r="CD34" s="201"/>
      <c r="CE34" s="201"/>
      <c r="CF34" s="201"/>
      <c r="CG34" s="201"/>
      <c r="CH34" s="201"/>
      <c r="CI34" s="201"/>
      <c r="CJ34" s="201"/>
      <c r="CK34" s="201"/>
      <c r="CL34" s="201"/>
      <c r="CM34" s="201"/>
      <c r="CN34" s="201"/>
      <c r="CO34" s="201"/>
      <c r="CP34" s="201"/>
      <c r="CQ34" s="201"/>
      <c r="CR34" s="201"/>
      <c r="CS34" s="201"/>
      <c r="CT34" s="201"/>
    </row>
    <row r="35" spans="1:98" customFormat="1" ht="34.15" customHeight="1" x14ac:dyDescent="0.3">
      <c r="A35" s="128">
        <v>27</v>
      </c>
      <c r="B35" s="192" t="s">
        <v>3</v>
      </c>
      <c r="C35" s="326">
        <v>1</v>
      </c>
      <c r="D35" s="326">
        <v>1</v>
      </c>
      <c r="E35" s="326"/>
      <c r="F35" s="326">
        <v>2</v>
      </c>
      <c r="G35" s="326">
        <v>22</v>
      </c>
      <c r="H35" s="326"/>
      <c r="I35" s="326">
        <v>33</v>
      </c>
      <c r="J35" s="328">
        <v>4</v>
      </c>
      <c r="K35" s="340">
        <f t="shared" si="0"/>
        <v>63</v>
      </c>
      <c r="L35" s="201"/>
      <c r="M35" s="201"/>
      <c r="N35" s="201"/>
      <c r="O35" s="201"/>
      <c r="P35" s="201"/>
      <c r="Q35" s="201"/>
      <c r="R35" s="201"/>
      <c r="S35" s="201"/>
      <c r="T35" s="201"/>
      <c r="U35" s="201"/>
      <c r="V35" s="201"/>
      <c r="W35" s="201"/>
      <c r="X35" s="201"/>
      <c r="Y35" s="201"/>
      <c r="Z35" s="201"/>
      <c r="AA35" s="201"/>
      <c r="AB35" s="201"/>
      <c r="AC35" s="201"/>
      <c r="AD35" s="201"/>
      <c r="AE35" s="201"/>
      <c r="AF35" s="201"/>
      <c r="AG35" s="201"/>
      <c r="AH35" s="201"/>
      <c r="AI35" s="201"/>
      <c r="AJ35" s="201"/>
      <c r="AK35" s="201"/>
      <c r="AL35" s="201"/>
      <c r="AM35" s="201"/>
      <c r="AN35" s="201"/>
      <c r="AO35" s="201"/>
      <c r="AP35" s="201"/>
      <c r="AQ35" s="201"/>
      <c r="AR35" s="201"/>
      <c r="AS35" s="201"/>
      <c r="AT35" s="201"/>
      <c r="AU35" s="201"/>
      <c r="AV35" s="201"/>
      <c r="AW35" s="201"/>
      <c r="AX35" s="201"/>
      <c r="AY35" s="201"/>
      <c r="AZ35" s="201"/>
      <c r="BA35" s="201"/>
      <c r="BB35" s="201"/>
      <c r="BC35" s="201"/>
      <c r="BD35" s="201"/>
      <c r="BE35" s="201"/>
      <c r="BF35" s="201"/>
      <c r="BG35" s="201"/>
      <c r="BH35" s="201"/>
      <c r="BI35" s="201"/>
      <c r="BJ35" s="201"/>
      <c r="BK35" s="201"/>
      <c r="BL35" s="201"/>
      <c r="BM35" s="201"/>
      <c r="BN35" s="201"/>
      <c r="BO35" s="201"/>
      <c r="BP35" s="201"/>
      <c r="BQ35" s="201"/>
      <c r="BR35" s="201"/>
      <c r="BS35" s="201"/>
      <c r="BT35" s="201"/>
      <c r="BU35" s="201"/>
      <c r="BV35" s="201"/>
      <c r="BW35" s="201"/>
      <c r="BX35" s="201"/>
      <c r="BY35" s="201"/>
      <c r="BZ35" s="201"/>
      <c r="CA35" s="201"/>
      <c r="CB35" s="201"/>
      <c r="CC35" s="201"/>
      <c r="CD35" s="201"/>
      <c r="CE35" s="201"/>
      <c r="CF35" s="201"/>
      <c r="CG35" s="201"/>
      <c r="CH35" s="201"/>
      <c r="CI35" s="201"/>
      <c r="CJ35" s="201"/>
      <c r="CK35" s="201"/>
      <c r="CL35" s="201"/>
      <c r="CM35" s="201"/>
      <c r="CN35" s="201"/>
      <c r="CO35" s="201"/>
      <c r="CP35" s="201"/>
      <c r="CQ35" s="201"/>
      <c r="CR35" s="201"/>
      <c r="CS35" s="201"/>
      <c r="CT35" s="201"/>
    </row>
    <row r="36" spans="1:98" customFormat="1" ht="34.15" customHeight="1" x14ac:dyDescent="0.3">
      <c r="A36" s="128">
        <v>43</v>
      </c>
      <c r="B36" s="192" t="s">
        <v>642</v>
      </c>
      <c r="C36" s="327"/>
      <c r="D36" s="328">
        <v>4</v>
      </c>
      <c r="E36" s="328">
        <v>4</v>
      </c>
      <c r="F36" s="328">
        <v>3</v>
      </c>
      <c r="G36" s="328">
        <v>23</v>
      </c>
      <c r="H36" s="328"/>
      <c r="I36" s="328">
        <v>22</v>
      </c>
      <c r="J36" s="328">
        <v>5</v>
      </c>
      <c r="K36" s="340">
        <f t="shared" si="0"/>
        <v>61</v>
      </c>
      <c r="L36" s="201"/>
      <c r="M36" s="201"/>
      <c r="N36" s="201"/>
      <c r="O36" s="201"/>
      <c r="P36" s="201"/>
      <c r="Q36" s="201"/>
      <c r="R36" s="201"/>
      <c r="S36" s="201"/>
      <c r="T36" s="201"/>
      <c r="U36" s="201"/>
      <c r="V36" s="201"/>
      <c r="W36" s="201"/>
      <c r="X36" s="201"/>
      <c r="Y36" s="201"/>
      <c r="Z36" s="201"/>
      <c r="AA36" s="201"/>
      <c r="AB36" s="201"/>
      <c r="AC36" s="201"/>
      <c r="AD36" s="201"/>
      <c r="AE36" s="201"/>
      <c r="AF36" s="201"/>
      <c r="AG36" s="201"/>
      <c r="AH36" s="201"/>
      <c r="AI36" s="201"/>
      <c r="AJ36" s="201"/>
      <c r="AK36" s="201"/>
      <c r="AL36" s="201"/>
      <c r="AM36" s="201"/>
      <c r="AN36" s="201"/>
      <c r="AO36" s="201"/>
      <c r="AP36" s="201"/>
      <c r="AQ36" s="201"/>
      <c r="AR36" s="201"/>
      <c r="AS36" s="201"/>
      <c r="AT36" s="201"/>
      <c r="AU36" s="201"/>
      <c r="AV36" s="201"/>
      <c r="AW36" s="201"/>
      <c r="AX36" s="201"/>
      <c r="AY36" s="201"/>
      <c r="AZ36" s="201"/>
      <c r="BA36" s="201"/>
      <c r="BB36" s="201"/>
      <c r="BC36" s="201"/>
      <c r="BD36" s="201"/>
      <c r="BE36" s="201"/>
      <c r="BF36" s="201"/>
      <c r="BG36" s="201"/>
      <c r="BH36" s="201"/>
      <c r="BI36" s="201"/>
      <c r="BJ36" s="201"/>
      <c r="BK36" s="201"/>
      <c r="BL36" s="201"/>
      <c r="BM36" s="201"/>
      <c r="BN36" s="201"/>
      <c r="BO36" s="201"/>
      <c r="BP36" s="201"/>
      <c r="BQ36" s="201"/>
      <c r="BR36" s="201"/>
      <c r="BS36" s="201"/>
      <c r="BT36" s="201"/>
      <c r="BU36" s="201"/>
      <c r="BV36" s="201"/>
      <c r="BW36" s="201"/>
      <c r="BX36" s="201"/>
      <c r="BY36" s="201"/>
      <c r="BZ36" s="201"/>
      <c r="CA36" s="201"/>
      <c r="CB36" s="201"/>
      <c r="CC36" s="201"/>
      <c r="CD36" s="201"/>
      <c r="CE36" s="201"/>
      <c r="CF36" s="201"/>
      <c r="CG36" s="201"/>
      <c r="CH36" s="201"/>
      <c r="CI36" s="201"/>
      <c r="CJ36" s="201"/>
      <c r="CK36" s="201"/>
      <c r="CL36" s="201"/>
      <c r="CM36" s="201"/>
      <c r="CN36" s="201"/>
      <c r="CO36" s="201"/>
      <c r="CP36" s="201"/>
      <c r="CQ36" s="201"/>
      <c r="CR36" s="201"/>
      <c r="CS36" s="201"/>
      <c r="CT36" s="201"/>
    </row>
    <row r="37" spans="1:98" customFormat="1" ht="34.15" customHeight="1" x14ac:dyDescent="0.3">
      <c r="A37" s="128">
        <v>28</v>
      </c>
      <c r="B37" s="192" t="s">
        <v>59</v>
      </c>
      <c r="C37" s="326">
        <v>11</v>
      </c>
      <c r="D37" s="326">
        <v>3</v>
      </c>
      <c r="E37" s="326"/>
      <c r="F37" s="326">
        <v>3</v>
      </c>
      <c r="G37" s="326">
        <v>19</v>
      </c>
      <c r="H37" s="326"/>
      <c r="I37" s="326">
        <v>23</v>
      </c>
      <c r="J37" s="328">
        <v>1</v>
      </c>
      <c r="K37" s="340">
        <f t="shared" si="0"/>
        <v>60</v>
      </c>
      <c r="L37" s="201"/>
      <c r="M37" s="201"/>
      <c r="N37" s="201"/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Y37" s="201"/>
      <c r="Z37" s="201"/>
      <c r="AA37" s="201"/>
      <c r="AB37" s="201"/>
      <c r="AC37" s="201"/>
      <c r="AD37" s="201"/>
      <c r="AE37" s="201"/>
      <c r="AF37" s="201"/>
      <c r="AG37" s="201"/>
      <c r="AH37" s="201"/>
      <c r="AI37" s="201"/>
      <c r="AJ37" s="201"/>
      <c r="AK37" s="201"/>
      <c r="AL37" s="201"/>
      <c r="AM37" s="201"/>
      <c r="AN37" s="201"/>
      <c r="AO37" s="201"/>
      <c r="AP37" s="201"/>
      <c r="AQ37" s="201"/>
      <c r="AR37" s="201"/>
      <c r="AS37" s="201"/>
      <c r="AT37" s="201"/>
      <c r="AU37" s="201"/>
      <c r="AV37" s="201"/>
      <c r="AW37" s="201"/>
      <c r="AX37" s="201"/>
      <c r="AY37" s="201"/>
      <c r="AZ37" s="201"/>
      <c r="BA37" s="201"/>
      <c r="BB37" s="201"/>
      <c r="BC37" s="201"/>
      <c r="BD37" s="201"/>
      <c r="BE37" s="201"/>
      <c r="BF37" s="201"/>
      <c r="BG37" s="201"/>
      <c r="BH37" s="201"/>
      <c r="BI37" s="201"/>
      <c r="BJ37" s="201"/>
      <c r="BK37" s="201"/>
      <c r="BL37" s="201"/>
      <c r="BM37" s="201"/>
      <c r="BN37" s="201"/>
      <c r="BO37" s="201"/>
      <c r="BP37" s="201"/>
      <c r="BQ37" s="201"/>
      <c r="BR37" s="201"/>
      <c r="BS37" s="201"/>
      <c r="BT37" s="201"/>
      <c r="BU37" s="201"/>
      <c r="BV37" s="201"/>
      <c r="BW37" s="201"/>
      <c r="BX37" s="201"/>
      <c r="BY37" s="201"/>
      <c r="BZ37" s="201"/>
      <c r="CA37" s="201"/>
      <c r="CB37" s="201"/>
      <c r="CC37" s="201"/>
      <c r="CD37" s="201"/>
      <c r="CE37" s="201"/>
      <c r="CF37" s="201"/>
      <c r="CG37" s="201"/>
      <c r="CH37" s="201"/>
      <c r="CI37" s="201"/>
      <c r="CJ37" s="201"/>
      <c r="CK37" s="201"/>
      <c r="CL37" s="201"/>
      <c r="CM37" s="201"/>
      <c r="CN37" s="201"/>
      <c r="CO37" s="201"/>
      <c r="CP37" s="201"/>
      <c r="CQ37" s="201"/>
      <c r="CR37" s="201"/>
      <c r="CS37" s="201"/>
      <c r="CT37" s="201"/>
    </row>
    <row r="38" spans="1:98" customFormat="1" ht="34.15" customHeight="1" x14ac:dyDescent="0.3">
      <c r="A38" s="128">
        <v>30</v>
      </c>
      <c r="B38" s="192" t="s">
        <v>4</v>
      </c>
      <c r="C38" s="326">
        <v>1</v>
      </c>
      <c r="D38" s="326">
        <v>2</v>
      </c>
      <c r="E38" s="326">
        <v>2</v>
      </c>
      <c r="F38" s="326">
        <v>10</v>
      </c>
      <c r="G38" s="326">
        <v>13</v>
      </c>
      <c r="H38" s="326">
        <v>1</v>
      </c>
      <c r="I38" s="326">
        <v>24</v>
      </c>
      <c r="J38" s="328">
        <v>1</v>
      </c>
      <c r="K38" s="340">
        <f t="shared" si="0"/>
        <v>54</v>
      </c>
      <c r="L38" s="201"/>
      <c r="M38" s="201"/>
      <c r="N38" s="201"/>
      <c r="O38" s="201"/>
      <c r="P38" s="201"/>
      <c r="Q38" s="201"/>
      <c r="R38" s="201"/>
      <c r="S38" s="201"/>
      <c r="T38" s="201"/>
      <c r="U38" s="201"/>
      <c r="V38" s="201"/>
      <c r="W38" s="201"/>
      <c r="X38" s="201"/>
      <c r="Y38" s="201"/>
      <c r="Z38" s="201"/>
      <c r="AA38" s="201"/>
      <c r="AB38" s="201"/>
      <c r="AC38" s="201"/>
      <c r="AD38" s="201"/>
      <c r="AE38" s="201"/>
      <c r="AF38" s="201"/>
      <c r="AG38" s="201"/>
      <c r="AH38" s="201"/>
      <c r="AI38" s="201"/>
      <c r="AJ38" s="201"/>
      <c r="AK38" s="201"/>
      <c r="AL38" s="201"/>
      <c r="AM38" s="201"/>
      <c r="AN38" s="201"/>
      <c r="AO38" s="201"/>
      <c r="AP38" s="201"/>
      <c r="AQ38" s="201"/>
      <c r="AR38" s="201"/>
      <c r="AS38" s="201"/>
      <c r="AT38" s="201"/>
      <c r="AU38" s="201"/>
      <c r="AV38" s="201"/>
      <c r="AW38" s="201"/>
      <c r="AX38" s="201"/>
      <c r="AY38" s="201"/>
      <c r="AZ38" s="201"/>
      <c r="BA38" s="201"/>
      <c r="BB38" s="201"/>
      <c r="BC38" s="201"/>
      <c r="BD38" s="201"/>
      <c r="BE38" s="201"/>
      <c r="BF38" s="201"/>
      <c r="BG38" s="201"/>
      <c r="BH38" s="201"/>
      <c r="BI38" s="201"/>
      <c r="BJ38" s="201"/>
      <c r="BK38" s="201"/>
      <c r="BL38" s="201"/>
      <c r="BM38" s="201"/>
      <c r="BN38" s="201"/>
      <c r="BO38" s="201"/>
      <c r="BP38" s="201"/>
      <c r="BQ38" s="201"/>
      <c r="BR38" s="201"/>
      <c r="BS38" s="201"/>
      <c r="BT38" s="201"/>
      <c r="BU38" s="201"/>
      <c r="BV38" s="201"/>
      <c r="BW38" s="201"/>
      <c r="BX38" s="201"/>
      <c r="BY38" s="201"/>
      <c r="BZ38" s="201"/>
      <c r="CA38" s="201"/>
      <c r="CB38" s="201"/>
      <c r="CC38" s="201"/>
      <c r="CD38" s="201"/>
      <c r="CE38" s="201"/>
      <c r="CF38" s="201"/>
      <c r="CG38" s="201"/>
      <c r="CH38" s="201"/>
      <c r="CI38" s="201"/>
      <c r="CJ38" s="201"/>
      <c r="CK38" s="201"/>
      <c r="CL38" s="201"/>
      <c r="CM38" s="201"/>
      <c r="CN38" s="201"/>
      <c r="CO38" s="201"/>
      <c r="CP38" s="201"/>
      <c r="CQ38" s="201"/>
      <c r="CR38" s="201"/>
      <c r="CS38" s="201"/>
      <c r="CT38" s="201"/>
    </row>
    <row r="39" spans="1:98" customFormat="1" ht="34.15" customHeight="1" x14ac:dyDescent="0.3">
      <c r="A39" s="128">
        <v>39</v>
      </c>
      <c r="B39" s="192" t="s">
        <v>457</v>
      </c>
      <c r="C39" s="328"/>
      <c r="D39" s="328">
        <v>4</v>
      </c>
      <c r="E39" s="328">
        <v>2</v>
      </c>
      <c r="F39" s="328">
        <v>4</v>
      </c>
      <c r="G39" s="329"/>
      <c r="H39" s="328"/>
      <c r="I39" s="328">
        <v>33</v>
      </c>
      <c r="J39" s="328">
        <v>3</v>
      </c>
      <c r="K39" s="340">
        <f t="shared" si="0"/>
        <v>46</v>
      </c>
      <c r="L39" s="201"/>
      <c r="M39" s="201"/>
      <c r="N39" s="201"/>
      <c r="O39" s="201"/>
      <c r="P39" s="201"/>
      <c r="Q39" s="201"/>
      <c r="R39" s="201"/>
      <c r="S39" s="201"/>
      <c r="T39" s="201"/>
      <c r="U39" s="201"/>
      <c r="V39" s="201"/>
      <c r="W39" s="201"/>
      <c r="X39" s="201"/>
      <c r="Y39" s="201"/>
      <c r="Z39" s="201"/>
      <c r="AA39" s="201"/>
      <c r="AB39" s="201"/>
      <c r="AC39" s="201"/>
      <c r="AD39" s="201"/>
      <c r="AE39" s="201"/>
      <c r="AF39" s="201"/>
      <c r="AG39" s="201"/>
      <c r="AH39" s="201"/>
      <c r="AI39" s="201"/>
      <c r="AJ39" s="201"/>
      <c r="AK39" s="201"/>
      <c r="AL39" s="201"/>
      <c r="AM39" s="201"/>
      <c r="AN39" s="201"/>
      <c r="AO39" s="201"/>
      <c r="AP39" s="201"/>
      <c r="AQ39" s="201"/>
      <c r="AR39" s="201"/>
      <c r="AS39" s="201"/>
      <c r="AT39" s="201"/>
      <c r="AU39" s="201"/>
      <c r="AV39" s="201"/>
      <c r="AW39" s="201"/>
      <c r="AX39" s="201"/>
      <c r="AY39" s="201"/>
      <c r="AZ39" s="201"/>
      <c r="BA39" s="201"/>
      <c r="BB39" s="201"/>
      <c r="BC39" s="201"/>
      <c r="BD39" s="201"/>
      <c r="BE39" s="201"/>
      <c r="BF39" s="201"/>
      <c r="BG39" s="201"/>
      <c r="BH39" s="201"/>
      <c r="BI39" s="201"/>
      <c r="BJ39" s="201"/>
      <c r="BK39" s="201"/>
      <c r="BL39" s="201"/>
      <c r="BM39" s="201"/>
      <c r="BN39" s="201"/>
      <c r="BO39" s="201"/>
      <c r="BP39" s="201"/>
      <c r="BQ39" s="201"/>
      <c r="BR39" s="201"/>
      <c r="BS39" s="201"/>
      <c r="BT39" s="201"/>
      <c r="BU39" s="201"/>
      <c r="BV39" s="201"/>
      <c r="BW39" s="201"/>
      <c r="BX39" s="201"/>
      <c r="BY39" s="201"/>
      <c r="BZ39" s="201"/>
      <c r="CA39" s="201"/>
      <c r="CB39" s="201"/>
      <c r="CC39" s="201"/>
      <c r="CD39" s="201"/>
      <c r="CE39" s="201"/>
      <c r="CF39" s="201"/>
      <c r="CG39" s="201"/>
      <c r="CH39" s="201"/>
      <c r="CI39" s="201"/>
      <c r="CJ39" s="201"/>
      <c r="CK39" s="201"/>
      <c r="CL39" s="201"/>
      <c r="CM39" s="201"/>
      <c r="CN39" s="201"/>
      <c r="CO39" s="201"/>
      <c r="CP39" s="201"/>
      <c r="CQ39" s="201"/>
      <c r="CR39" s="201"/>
      <c r="CS39" s="201"/>
      <c r="CT39" s="201"/>
    </row>
    <row r="40" spans="1:98" customFormat="1" ht="34.15" customHeight="1" x14ac:dyDescent="0.3">
      <c r="A40" s="128">
        <v>7</v>
      </c>
      <c r="B40" s="192" t="s">
        <v>774</v>
      </c>
      <c r="C40" s="327">
        <v>1</v>
      </c>
      <c r="D40" s="327"/>
      <c r="E40" s="328">
        <v>5</v>
      </c>
      <c r="F40" s="328">
        <v>9</v>
      </c>
      <c r="G40" s="328">
        <v>12</v>
      </c>
      <c r="H40" s="328"/>
      <c r="I40" s="328">
        <v>16</v>
      </c>
      <c r="J40" s="328">
        <v>1</v>
      </c>
      <c r="K40" s="340">
        <f t="shared" si="0"/>
        <v>44</v>
      </c>
      <c r="L40" s="201"/>
      <c r="M40" s="201"/>
      <c r="N40" s="201"/>
      <c r="O40" s="201"/>
      <c r="P40" s="201"/>
      <c r="Q40" s="201"/>
      <c r="R40" s="201"/>
      <c r="S40" s="201"/>
      <c r="T40" s="201"/>
      <c r="U40" s="201"/>
      <c r="V40" s="201"/>
      <c r="W40" s="201"/>
      <c r="X40" s="201"/>
      <c r="Y40" s="201"/>
      <c r="Z40" s="201"/>
      <c r="AA40" s="201"/>
      <c r="AB40" s="201"/>
      <c r="AC40" s="201"/>
      <c r="AD40" s="201"/>
      <c r="AE40" s="201"/>
      <c r="AF40" s="201"/>
      <c r="AG40" s="201"/>
      <c r="AH40" s="201"/>
      <c r="AI40" s="201"/>
      <c r="AJ40" s="201"/>
      <c r="AK40" s="201"/>
      <c r="AL40" s="201"/>
      <c r="AM40" s="201"/>
      <c r="AN40" s="201"/>
      <c r="AO40" s="201"/>
      <c r="AP40" s="201"/>
      <c r="AQ40" s="201"/>
      <c r="AR40" s="201"/>
      <c r="AS40" s="201"/>
      <c r="AT40" s="201"/>
      <c r="AU40" s="201"/>
      <c r="AV40" s="201"/>
      <c r="AW40" s="201"/>
      <c r="AX40" s="201"/>
      <c r="AY40" s="201"/>
      <c r="AZ40" s="201"/>
      <c r="BA40" s="201"/>
      <c r="BB40" s="201"/>
      <c r="BC40" s="201"/>
      <c r="BD40" s="201"/>
      <c r="BE40" s="201"/>
      <c r="BF40" s="201"/>
      <c r="BG40" s="201"/>
      <c r="BH40" s="201"/>
      <c r="BI40" s="201"/>
      <c r="BJ40" s="201"/>
      <c r="BK40" s="201"/>
      <c r="BL40" s="201"/>
      <c r="BM40" s="201"/>
      <c r="BN40" s="201"/>
      <c r="BO40" s="201"/>
      <c r="BP40" s="201"/>
      <c r="BQ40" s="201"/>
      <c r="BR40" s="201"/>
      <c r="BS40" s="201"/>
      <c r="BT40" s="201"/>
      <c r="BU40" s="201"/>
      <c r="BV40" s="201"/>
      <c r="BW40" s="201"/>
      <c r="BX40" s="201"/>
      <c r="BY40" s="201"/>
      <c r="BZ40" s="201"/>
      <c r="CA40" s="201"/>
      <c r="CB40" s="201"/>
      <c r="CC40" s="201"/>
      <c r="CD40" s="201"/>
      <c r="CE40" s="201"/>
      <c r="CF40" s="201"/>
      <c r="CG40" s="201"/>
      <c r="CH40" s="201"/>
      <c r="CI40" s="201"/>
      <c r="CJ40" s="201"/>
      <c r="CK40" s="201"/>
      <c r="CL40" s="201"/>
      <c r="CM40" s="201"/>
      <c r="CN40" s="201"/>
      <c r="CO40" s="201"/>
      <c r="CP40" s="201"/>
      <c r="CQ40" s="201"/>
      <c r="CR40" s="201"/>
      <c r="CS40" s="201"/>
      <c r="CT40" s="201"/>
    </row>
    <row r="41" spans="1:98" customFormat="1" ht="34.15" customHeight="1" x14ac:dyDescent="0.3">
      <c r="A41" s="128">
        <v>26</v>
      </c>
      <c r="B41" s="192" t="s">
        <v>1</v>
      </c>
      <c r="C41" s="326"/>
      <c r="D41" s="326">
        <v>1</v>
      </c>
      <c r="E41" s="326"/>
      <c r="F41" s="326">
        <v>2</v>
      </c>
      <c r="G41" s="326">
        <v>20</v>
      </c>
      <c r="H41" s="326">
        <v>2</v>
      </c>
      <c r="I41" s="326">
        <v>18</v>
      </c>
      <c r="J41" s="328"/>
      <c r="K41" s="340">
        <f t="shared" si="0"/>
        <v>43</v>
      </c>
      <c r="L41" s="201"/>
      <c r="M41" s="201"/>
      <c r="N41" s="201"/>
      <c r="O41" s="201"/>
      <c r="P41" s="201"/>
      <c r="Q41" s="201"/>
      <c r="R41" s="201"/>
      <c r="S41" s="201"/>
      <c r="T41" s="201"/>
      <c r="U41" s="201"/>
      <c r="V41" s="201"/>
      <c r="W41" s="201"/>
      <c r="X41" s="201"/>
      <c r="Y41" s="201"/>
      <c r="Z41" s="201"/>
      <c r="AA41" s="201"/>
      <c r="AB41" s="201"/>
      <c r="AC41" s="201"/>
      <c r="AD41" s="201"/>
      <c r="AE41" s="201"/>
      <c r="AF41" s="201"/>
      <c r="AG41" s="201"/>
      <c r="AH41" s="201"/>
      <c r="AI41" s="201"/>
      <c r="AJ41" s="201"/>
      <c r="AK41" s="201"/>
      <c r="AL41" s="201"/>
      <c r="AM41" s="201"/>
      <c r="AN41" s="201"/>
      <c r="AO41" s="201"/>
      <c r="AP41" s="201"/>
      <c r="AQ41" s="201"/>
      <c r="AR41" s="201"/>
      <c r="AS41" s="201"/>
      <c r="AT41" s="201"/>
      <c r="AU41" s="201"/>
      <c r="AV41" s="201"/>
      <c r="AW41" s="201"/>
      <c r="AX41" s="201"/>
      <c r="AY41" s="201"/>
      <c r="AZ41" s="201"/>
      <c r="BA41" s="201"/>
      <c r="BB41" s="201"/>
      <c r="BC41" s="201"/>
      <c r="BD41" s="201"/>
      <c r="BE41" s="201"/>
      <c r="BF41" s="201"/>
      <c r="BG41" s="201"/>
      <c r="BH41" s="201"/>
      <c r="BI41" s="201"/>
      <c r="BJ41" s="201"/>
      <c r="BK41" s="201"/>
      <c r="BL41" s="201"/>
      <c r="BM41" s="201"/>
      <c r="BN41" s="201"/>
      <c r="BO41" s="201"/>
      <c r="BP41" s="201"/>
      <c r="BQ41" s="201"/>
      <c r="BR41" s="201"/>
      <c r="BS41" s="201"/>
      <c r="BT41" s="201"/>
      <c r="BU41" s="201"/>
      <c r="BV41" s="201"/>
      <c r="BW41" s="201"/>
      <c r="BX41" s="201"/>
      <c r="BY41" s="201"/>
      <c r="BZ41" s="201"/>
      <c r="CA41" s="201"/>
      <c r="CB41" s="201"/>
      <c r="CC41" s="201"/>
      <c r="CD41" s="201"/>
      <c r="CE41" s="201"/>
      <c r="CF41" s="201"/>
      <c r="CG41" s="201"/>
      <c r="CH41" s="201"/>
      <c r="CI41" s="201"/>
      <c r="CJ41" s="201"/>
      <c r="CK41" s="201"/>
      <c r="CL41" s="201"/>
      <c r="CM41" s="201"/>
      <c r="CN41" s="201"/>
      <c r="CO41" s="201"/>
      <c r="CP41" s="201"/>
      <c r="CQ41" s="201"/>
      <c r="CR41" s="201"/>
      <c r="CS41" s="201"/>
      <c r="CT41" s="201"/>
    </row>
    <row r="42" spans="1:98" customFormat="1" ht="34.15" customHeight="1" x14ac:dyDescent="0.3">
      <c r="A42" s="128">
        <v>1</v>
      </c>
      <c r="B42" s="192" t="s">
        <v>47</v>
      </c>
      <c r="C42" s="326"/>
      <c r="D42" s="326"/>
      <c r="E42" s="326"/>
      <c r="F42" s="326">
        <v>4</v>
      </c>
      <c r="G42" s="326">
        <v>28</v>
      </c>
      <c r="H42" s="326"/>
      <c r="I42" s="326">
        <v>7</v>
      </c>
      <c r="J42" s="326">
        <v>2</v>
      </c>
      <c r="K42" s="340">
        <f t="shared" si="0"/>
        <v>41</v>
      </c>
      <c r="L42" s="201"/>
      <c r="M42" s="201"/>
      <c r="N42" s="201"/>
      <c r="O42" s="201"/>
      <c r="P42" s="201"/>
      <c r="Q42" s="201"/>
      <c r="R42" s="201"/>
      <c r="S42" s="201"/>
      <c r="T42" s="201"/>
      <c r="U42" s="201"/>
      <c r="V42" s="201"/>
      <c r="W42" s="201"/>
      <c r="X42" s="201"/>
      <c r="Y42" s="201"/>
      <c r="Z42" s="201"/>
      <c r="AA42" s="201"/>
      <c r="AB42" s="201"/>
      <c r="AC42" s="201"/>
      <c r="AD42" s="201"/>
      <c r="AE42" s="201"/>
      <c r="AF42" s="201"/>
      <c r="AG42" s="201"/>
      <c r="AH42" s="201"/>
      <c r="AI42" s="201"/>
      <c r="AJ42" s="201"/>
      <c r="AK42" s="201"/>
      <c r="AL42" s="201"/>
      <c r="AM42" s="201"/>
      <c r="AN42" s="201"/>
      <c r="AO42" s="201"/>
      <c r="AP42" s="201"/>
      <c r="AQ42" s="201"/>
      <c r="AR42" s="201"/>
      <c r="AS42" s="201"/>
      <c r="AT42" s="201"/>
      <c r="AU42" s="201"/>
      <c r="AV42" s="201"/>
      <c r="AW42" s="201"/>
      <c r="AX42" s="201"/>
      <c r="AY42" s="201"/>
      <c r="AZ42" s="201"/>
      <c r="BA42" s="201"/>
      <c r="BB42" s="201"/>
      <c r="BC42" s="201"/>
      <c r="BD42" s="201"/>
      <c r="BE42" s="201"/>
      <c r="BF42" s="201"/>
      <c r="BG42" s="201"/>
      <c r="BH42" s="201"/>
      <c r="BI42" s="201"/>
      <c r="BJ42" s="201"/>
      <c r="BK42" s="201"/>
      <c r="BL42" s="201"/>
      <c r="BM42" s="201"/>
      <c r="BN42" s="201"/>
      <c r="BO42" s="201"/>
      <c r="BP42" s="201"/>
      <c r="BQ42" s="201"/>
      <c r="BR42" s="201"/>
      <c r="BS42" s="201"/>
      <c r="BT42" s="201"/>
      <c r="BU42" s="201"/>
      <c r="BV42" s="201"/>
      <c r="BW42" s="201"/>
      <c r="BX42" s="201"/>
      <c r="BY42" s="201"/>
      <c r="BZ42" s="201"/>
      <c r="CA42" s="201"/>
      <c r="CB42" s="201"/>
      <c r="CC42" s="201"/>
      <c r="CD42" s="201"/>
      <c r="CE42" s="201"/>
      <c r="CF42" s="201"/>
      <c r="CG42" s="201"/>
      <c r="CH42" s="201"/>
      <c r="CI42" s="201"/>
      <c r="CJ42" s="201"/>
      <c r="CK42" s="201"/>
      <c r="CL42" s="201"/>
      <c r="CM42" s="201"/>
      <c r="CN42" s="201"/>
      <c r="CO42" s="201"/>
      <c r="CP42" s="201"/>
      <c r="CQ42" s="201"/>
      <c r="CR42" s="201"/>
      <c r="CS42" s="201"/>
      <c r="CT42" s="201"/>
    </row>
    <row r="43" spans="1:98" customFormat="1" ht="34.15" customHeight="1" x14ac:dyDescent="0.3">
      <c r="A43" s="128">
        <v>35</v>
      </c>
      <c r="B43" s="192" t="s">
        <v>773</v>
      </c>
      <c r="C43" s="327"/>
      <c r="D43" s="327">
        <v>1</v>
      </c>
      <c r="E43" s="328">
        <v>1</v>
      </c>
      <c r="F43" s="328">
        <v>7</v>
      </c>
      <c r="G43" s="328">
        <v>14</v>
      </c>
      <c r="H43" s="328"/>
      <c r="I43" s="328">
        <v>14</v>
      </c>
      <c r="J43" s="328">
        <v>1</v>
      </c>
      <c r="K43" s="340">
        <f t="shared" si="0"/>
        <v>38</v>
      </c>
      <c r="L43" s="201"/>
      <c r="M43" s="201"/>
      <c r="N43" s="201"/>
      <c r="O43" s="201"/>
      <c r="P43" s="201"/>
      <c r="Q43" s="201"/>
      <c r="R43" s="201"/>
      <c r="S43" s="201"/>
      <c r="T43" s="201"/>
      <c r="U43" s="201"/>
      <c r="V43" s="201"/>
      <c r="W43" s="201"/>
      <c r="X43" s="201"/>
      <c r="Y43" s="201"/>
      <c r="Z43" s="201"/>
      <c r="AA43" s="201"/>
      <c r="AB43" s="201"/>
      <c r="AC43" s="201"/>
      <c r="AD43" s="201"/>
      <c r="AE43" s="201"/>
      <c r="AF43" s="201"/>
      <c r="AG43" s="201"/>
      <c r="AH43" s="201"/>
      <c r="AI43" s="201"/>
      <c r="AJ43" s="201"/>
      <c r="AK43" s="201"/>
      <c r="AL43" s="201"/>
      <c r="AM43" s="201"/>
      <c r="AN43" s="201"/>
      <c r="AO43" s="201"/>
      <c r="AP43" s="201"/>
      <c r="AQ43" s="201"/>
      <c r="AR43" s="201"/>
      <c r="AS43" s="201"/>
      <c r="AT43" s="201"/>
      <c r="AU43" s="201"/>
      <c r="AV43" s="201"/>
      <c r="AW43" s="201"/>
      <c r="AX43" s="201"/>
      <c r="AY43" s="201"/>
      <c r="AZ43" s="201"/>
      <c r="BA43" s="201"/>
      <c r="BB43" s="201"/>
      <c r="BC43" s="201"/>
      <c r="BD43" s="201"/>
      <c r="BE43" s="201"/>
      <c r="BF43" s="201"/>
      <c r="BG43" s="201"/>
      <c r="BH43" s="201"/>
      <c r="BI43" s="201"/>
      <c r="BJ43" s="201"/>
      <c r="BK43" s="201"/>
      <c r="BL43" s="201"/>
      <c r="BM43" s="201"/>
      <c r="BN43" s="201"/>
      <c r="BO43" s="201"/>
      <c r="BP43" s="201"/>
      <c r="BQ43" s="201"/>
      <c r="BR43" s="201"/>
      <c r="BS43" s="201"/>
      <c r="BT43" s="201"/>
      <c r="BU43" s="201"/>
      <c r="BV43" s="201"/>
      <c r="BW43" s="201"/>
      <c r="BX43" s="201"/>
      <c r="BY43" s="201"/>
      <c r="BZ43" s="201"/>
      <c r="CA43" s="201"/>
      <c r="CB43" s="201"/>
      <c r="CC43" s="201"/>
      <c r="CD43" s="201"/>
      <c r="CE43" s="201"/>
      <c r="CF43" s="201"/>
      <c r="CG43" s="201"/>
      <c r="CH43" s="201"/>
      <c r="CI43" s="201"/>
      <c r="CJ43" s="201"/>
      <c r="CK43" s="201"/>
      <c r="CL43" s="201"/>
      <c r="CM43" s="201"/>
      <c r="CN43" s="201"/>
      <c r="CO43" s="201"/>
      <c r="CP43" s="201"/>
      <c r="CQ43" s="201"/>
      <c r="CR43" s="201"/>
      <c r="CS43" s="201"/>
      <c r="CT43" s="201"/>
    </row>
    <row r="44" spans="1:98" customFormat="1" ht="34.15" customHeight="1" x14ac:dyDescent="0.3">
      <c r="A44" s="128">
        <v>20</v>
      </c>
      <c r="B44" s="192" t="s">
        <v>819</v>
      </c>
      <c r="C44" s="327">
        <v>3</v>
      </c>
      <c r="D44" s="327"/>
      <c r="E44" s="328">
        <v>6</v>
      </c>
      <c r="F44" s="328">
        <v>5</v>
      </c>
      <c r="G44" s="328">
        <v>5</v>
      </c>
      <c r="H44" s="328"/>
      <c r="I44" s="328">
        <v>11</v>
      </c>
      <c r="J44" s="328">
        <v>3</v>
      </c>
      <c r="K44" s="340">
        <f t="shared" si="0"/>
        <v>33</v>
      </c>
      <c r="L44" s="201"/>
      <c r="M44" s="201"/>
      <c r="N44" s="201"/>
      <c r="O44" s="201"/>
      <c r="P44" s="201"/>
      <c r="Q44" s="201"/>
      <c r="R44" s="201"/>
      <c r="S44" s="201"/>
      <c r="T44" s="201"/>
      <c r="U44" s="201"/>
      <c r="V44" s="201"/>
      <c r="W44" s="201"/>
      <c r="X44" s="201"/>
      <c r="Y44" s="201"/>
      <c r="Z44" s="201"/>
      <c r="AA44" s="201"/>
      <c r="AB44" s="201"/>
      <c r="AC44" s="201"/>
      <c r="AD44" s="201"/>
      <c r="AE44" s="201"/>
      <c r="AF44" s="201"/>
      <c r="AG44" s="201"/>
      <c r="AH44" s="201"/>
      <c r="AI44" s="201"/>
      <c r="AJ44" s="201"/>
      <c r="AK44" s="201"/>
      <c r="AL44" s="201"/>
      <c r="AM44" s="201"/>
      <c r="AN44" s="201"/>
      <c r="AO44" s="201"/>
      <c r="AP44" s="201"/>
      <c r="AQ44" s="201"/>
      <c r="AR44" s="201"/>
      <c r="AS44" s="201"/>
      <c r="AT44" s="201"/>
      <c r="AU44" s="201"/>
      <c r="AV44" s="201"/>
      <c r="AW44" s="201"/>
      <c r="AX44" s="201"/>
      <c r="AY44" s="201"/>
      <c r="AZ44" s="201"/>
      <c r="BA44" s="201"/>
      <c r="BB44" s="201"/>
      <c r="BC44" s="201"/>
      <c r="BD44" s="201"/>
      <c r="BE44" s="201"/>
      <c r="BF44" s="201"/>
      <c r="BG44" s="201"/>
      <c r="BH44" s="201"/>
      <c r="BI44" s="201"/>
      <c r="BJ44" s="201"/>
      <c r="BK44" s="201"/>
      <c r="BL44" s="201"/>
      <c r="BM44" s="201"/>
      <c r="BN44" s="201"/>
      <c r="BO44" s="201"/>
      <c r="BP44" s="201"/>
      <c r="BQ44" s="201"/>
      <c r="BR44" s="201"/>
      <c r="BS44" s="201"/>
      <c r="BT44" s="201"/>
      <c r="BU44" s="201"/>
      <c r="BV44" s="201"/>
      <c r="BW44" s="201"/>
      <c r="BX44" s="201"/>
      <c r="BY44" s="201"/>
      <c r="BZ44" s="201"/>
      <c r="CA44" s="201"/>
      <c r="CB44" s="201"/>
      <c r="CC44" s="201"/>
      <c r="CD44" s="201"/>
      <c r="CE44" s="201"/>
      <c r="CF44" s="201"/>
      <c r="CG44" s="201"/>
      <c r="CH44" s="201"/>
      <c r="CI44" s="201"/>
      <c r="CJ44" s="201"/>
      <c r="CK44" s="201"/>
      <c r="CL44" s="201"/>
      <c r="CM44" s="201"/>
      <c r="CN44" s="201"/>
      <c r="CO44" s="201"/>
      <c r="CP44" s="201"/>
      <c r="CQ44" s="201"/>
      <c r="CR44" s="201"/>
      <c r="CS44" s="201"/>
      <c r="CT44" s="201"/>
    </row>
    <row r="45" spans="1:98" customFormat="1" ht="34.15" customHeight="1" x14ac:dyDescent="0.3">
      <c r="A45" s="128">
        <v>36</v>
      </c>
      <c r="B45" s="192" t="s">
        <v>822</v>
      </c>
      <c r="C45" s="327"/>
      <c r="D45" s="327">
        <v>2</v>
      </c>
      <c r="E45" s="328"/>
      <c r="F45" s="328">
        <v>1</v>
      </c>
      <c r="G45" s="328">
        <v>4</v>
      </c>
      <c r="H45" s="328"/>
      <c r="I45" s="328">
        <v>9</v>
      </c>
      <c r="J45" s="328"/>
      <c r="K45" s="340">
        <f t="shared" si="0"/>
        <v>16</v>
      </c>
      <c r="L45" s="201"/>
      <c r="M45" s="201"/>
      <c r="N45" s="201"/>
      <c r="O45" s="201"/>
      <c r="P45" s="201"/>
      <c r="Q45" s="201"/>
      <c r="R45" s="201"/>
      <c r="S45" s="201"/>
      <c r="T45" s="201"/>
      <c r="U45" s="201"/>
      <c r="V45" s="201"/>
      <c r="W45" s="201"/>
      <c r="X45" s="201"/>
      <c r="Y45" s="201"/>
      <c r="Z45" s="201"/>
      <c r="AA45" s="201"/>
      <c r="AB45" s="201"/>
      <c r="AC45" s="201"/>
      <c r="AD45" s="201"/>
      <c r="AE45" s="201"/>
      <c r="AF45" s="201"/>
      <c r="AG45" s="201"/>
      <c r="AH45" s="201"/>
      <c r="AI45" s="201"/>
      <c r="AJ45" s="201"/>
      <c r="AK45" s="201"/>
      <c r="AL45" s="201"/>
      <c r="AM45" s="201"/>
      <c r="AN45" s="201"/>
      <c r="AO45" s="201"/>
      <c r="AP45" s="201"/>
      <c r="AQ45" s="201"/>
      <c r="AR45" s="201"/>
      <c r="AS45" s="201"/>
      <c r="AT45" s="201"/>
      <c r="AU45" s="201"/>
      <c r="AV45" s="201"/>
      <c r="AW45" s="201"/>
      <c r="AX45" s="201"/>
      <c r="AY45" s="201"/>
      <c r="AZ45" s="201"/>
      <c r="BA45" s="201"/>
      <c r="BB45" s="201"/>
      <c r="BC45" s="201"/>
      <c r="BD45" s="201"/>
      <c r="BE45" s="201"/>
      <c r="BF45" s="201"/>
      <c r="BG45" s="201"/>
      <c r="BH45" s="201"/>
      <c r="BI45" s="201"/>
      <c r="BJ45" s="201"/>
      <c r="BK45" s="201"/>
      <c r="BL45" s="201"/>
      <c r="BM45" s="201"/>
      <c r="BN45" s="201"/>
      <c r="BO45" s="201"/>
      <c r="BP45" s="201"/>
      <c r="BQ45" s="201"/>
      <c r="BR45" s="201"/>
      <c r="BS45" s="201"/>
      <c r="BT45" s="201"/>
      <c r="BU45" s="201"/>
      <c r="BV45" s="201"/>
      <c r="BW45" s="201"/>
      <c r="BX45" s="201"/>
      <c r="BY45" s="201"/>
      <c r="BZ45" s="201"/>
      <c r="CA45" s="201"/>
      <c r="CB45" s="201"/>
      <c r="CC45" s="201"/>
      <c r="CD45" s="201"/>
      <c r="CE45" s="201"/>
      <c r="CF45" s="201"/>
      <c r="CG45" s="201"/>
      <c r="CH45" s="201"/>
      <c r="CI45" s="201"/>
      <c r="CJ45" s="201"/>
      <c r="CK45" s="201"/>
      <c r="CL45" s="201"/>
      <c r="CM45" s="201"/>
      <c r="CN45" s="201"/>
      <c r="CO45" s="201"/>
      <c r="CP45" s="201"/>
      <c r="CQ45" s="201"/>
      <c r="CR45" s="201"/>
      <c r="CS45" s="201"/>
      <c r="CT45" s="201"/>
    </row>
    <row r="46" spans="1:98" customFormat="1" ht="34.15" customHeight="1" x14ac:dyDescent="0.3">
      <c r="A46" s="135"/>
      <c r="B46" s="190"/>
      <c r="C46" s="201"/>
      <c r="D46" s="201"/>
      <c r="E46" s="201"/>
      <c r="F46" s="201"/>
      <c r="G46" s="201"/>
      <c r="H46" s="201"/>
      <c r="I46" s="201"/>
      <c r="J46" s="201"/>
      <c r="L46" s="201"/>
      <c r="M46" s="201"/>
      <c r="N46" s="201"/>
      <c r="O46" s="201"/>
      <c r="P46" s="201"/>
      <c r="Q46" s="201"/>
      <c r="R46" s="201"/>
      <c r="S46" s="201"/>
      <c r="T46" s="201"/>
      <c r="U46" s="201"/>
      <c r="V46" s="201"/>
      <c r="W46" s="201"/>
      <c r="X46" s="201"/>
      <c r="Y46" s="201"/>
      <c r="Z46" s="201"/>
      <c r="AA46" s="201"/>
      <c r="AB46" s="201"/>
      <c r="AC46" s="201"/>
      <c r="AD46" s="201"/>
      <c r="AE46" s="201"/>
      <c r="AF46" s="201"/>
      <c r="AG46" s="201"/>
      <c r="AH46" s="201"/>
      <c r="AI46" s="201"/>
      <c r="AJ46" s="201"/>
      <c r="AK46" s="201"/>
      <c r="AL46" s="201"/>
      <c r="AM46" s="201"/>
      <c r="AN46" s="201"/>
      <c r="AO46" s="201"/>
      <c r="AP46" s="201"/>
      <c r="AQ46" s="201"/>
      <c r="AR46" s="201"/>
      <c r="AS46" s="201"/>
      <c r="AT46" s="201"/>
      <c r="AU46" s="201"/>
      <c r="AV46" s="201"/>
      <c r="AW46" s="201"/>
      <c r="AX46" s="201"/>
      <c r="AY46" s="201"/>
      <c r="AZ46" s="201"/>
      <c r="BA46" s="201"/>
      <c r="BB46" s="201"/>
      <c r="BC46" s="201"/>
      <c r="BD46" s="201"/>
      <c r="BE46" s="201"/>
      <c r="BF46" s="201"/>
      <c r="BG46" s="201"/>
      <c r="BH46" s="201"/>
      <c r="BI46" s="201"/>
      <c r="BJ46" s="201"/>
      <c r="BK46" s="201"/>
      <c r="BL46" s="201"/>
      <c r="BM46" s="201"/>
      <c r="BN46" s="201"/>
      <c r="BO46" s="201"/>
      <c r="BP46" s="201"/>
      <c r="BQ46" s="201"/>
      <c r="BR46" s="201"/>
      <c r="BS46" s="201"/>
      <c r="BT46" s="201"/>
      <c r="BU46" s="201"/>
      <c r="BV46" s="201"/>
      <c r="BW46" s="201"/>
      <c r="BX46" s="201"/>
      <c r="BY46" s="201"/>
      <c r="BZ46" s="201"/>
      <c r="CA46" s="201"/>
      <c r="CB46" s="201"/>
      <c r="CC46" s="201"/>
      <c r="CD46" s="201"/>
      <c r="CE46" s="201"/>
      <c r="CF46" s="201"/>
      <c r="CG46" s="201"/>
      <c r="CH46" s="201"/>
      <c r="CI46" s="201"/>
      <c r="CJ46" s="201"/>
      <c r="CK46" s="201"/>
      <c r="CL46" s="201"/>
      <c r="CM46" s="201"/>
      <c r="CN46" s="201"/>
      <c r="CO46" s="201"/>
      <c r="CP46" s="201"/>
      <c r="CQ46" s="201"/>
      <c r="CR46" s="201"/>
      <c r="CS46" s="201"/>
      <c r="CT46" s="201"/>
    </row>
    <row r="47" spans="1:98" customFormat="1" ht="34.15" customHeight="1" x14ac:dyDescent="0.3">
      <c r="A47" s="135"/>
      <c r="B47" s="137"/>
      <c r="C47" s="201"/>
      <c r="D47" s="201"/>
      <c r="E47" s="201"/>
      <c r="F47" s="201"/>
      <c r="G47" s="201"/>
      <c r="H47" s="201"/>
      <c r="I47" s="201"/>
      <c r="J47" s="201"/>
      <c r="L47" s="201"/>
      <c r="M47" s="201"/>
      <c r="N47" s="201"/>
      <c r="O47" s="201"/>
      <c r="P47" s="201"/>
      <c r="Q47" s="201"/>
      <c r="R47" s="201"/>
      <c r="S47" s="201"/>
      <c r="T47" s="201"/>
      <c r="U47" s="201"/>
      <c r="V47" s="201"/>
      <c r="W47" s="201"/>
      <c r="X47" s="201"/>
      <c r="Y47" s="201"/>
      <c r="Z47" s="201"/>
      <c r="AA47" s="201"/>
      <c r="AB47" s="201"/>
      <c r="AC47" s="201"/>
      <c r="AD47" s="201"/>
      <c r="AE47" s="201"/>
      <c r="AF47" s="201"/>
      <c r="AG47" s="201"/>
      <c r="AH47" s="201"/>
      <c r="AI47" s="201"/>
      <c r="AJ47" s="201"/>
      <c r="AK47" s="201"/>
      <c r="AL47" s="201"/>
      <c r="AM47" s="201"/>
      <c r="AN47" s="201"/>
      <c r="AO47" s="201"/>
      <c r="AP47" s="201"/>
      <c r="AQ47" s="201"/>
      <c r="AR47" s="201"/>
      <c r="AS47" s="201"/>
      <c r="AT47" s="201"/>
      <c r="AU47" s="201"/>
      <c r="AV47" s="201"/>
      <c r="AW47" s="201"/>
      <c r="AX47" s="201"/>
      <c r="AY47" s="201"/>
      <c r="AZ47" s="201"/>
      <c r="BA47" s="201"/>
      <c r="BB47" s="201"/>
      <c r="BC47" s="201"/>
      <c r="BD47" s="201"/>
      <c r="BE47" s="201"/>
      <c r="BF47" s="201"/>
      <c r="BG47" s="201"/>
      <c r="BH47" s="201"/>
      <c r="BI47" s="201"/>
      <c r="BJ47" s="201"/>
      <c r="BK47" s="201"/>
      <c r="BL47" s="201"/>
      <c r="BM47" s="201"/>
      <c r="BN47" s="201"/>
      <c r="BO47" s="201"/>
      <c r="BP47" s="201"/>
      <c r="BQ47" s="201"/>
      <c r="BR47" s="201"/>
      <c r="BS47" s="201"/>
      <c r="BT47" s="201"/>
      <c r="BU47" s="201"/>
      <c r="BV47" s="201"/>
      <c r="BW47" s="201"/>
      <c r="BX47" s="201"/>
      <c r="BY47" s="201"/>
      <c r="BZ47" s="201"/>
      <c r="CA47" s="201"/>
      <c r="CB47" s="201"/>
      <c r="CC47" s="201"/>
      <c r="CD47" s="201"/>
      <c r="CE47" s="201"/>
      <c r="CF47" s="201"/>
      <c r="CG47" s="201"/>
      <c r="CH47" s="201"/>
      <c r="CI47" s="201"/>
      <c r="CJ47" s="201"/>
      <c r="CK47" s="201"/>
      <c r="CL47" s="201"/>
      <c r="CM47" s="201"/>
      <c r="CN47" s="201"/>
      <c r="CO47" s="201"/>
      <c r="CP47" s="201"/>
      <c r="CQ47" s="201"/>
      <c r="CR47" s="201"/>
      <c r="CS47" s="201"/>
      <c r="CT47" s="201"/>
    </row>
    <row r="48" spans="1:98" customFormat="1" ht="34.15" customHeight="1" x14ac:dyDescent="0.3">
      <c r="A48" s="135"/>
      <c r="B48" s="137"/>
      <c r="C48" s="201"/>
      <c r="D48" s="201"/>
      <c r="E48" s="201"/>
      <c r="F48" s="201"/>
      <c r="G48" s="201"/>
      <c r="H48" s="201"/>
      <c r="I48" s="201"/>
      <c r="J48" s="201"/>
      <c r="L48" s="201"/>
      <c r="M48" s="201"/>
      <c r="N48" s="201"/>
      <c r="O48" s="201"/>
      <c r="P48" s="201"/>
      <c r="Q48" s="201"/>
      <c r="R48" s="201"/>
      <c r="S48" s="201"/>
      <c r="T48" s="201"/>
      <c r="U48" s="201"/>
      <c r="V48" s="201"/>
      <c r="W48" s="201"/>
      <c r="X48" s="201"/>
      <c r="Y48" s="201"/>
      <c r="Z48" s="201"/>
      <c r="AA48" s="201"/>
      <c r="AB48" s="201"/>
      <c r="AC48" s="201"/>
      <c r="AD48" s="201"/>
      <c r="AE48" s="201"/>
      <c r="AF48" s="201"/>
      <c r="AG48" s="201"/>
      <c r="AH48" s="201"/>
      <c r="AI48" s="201"/>
      <c r="AJ48" s="201"/>
      <c r="AK48" s="201"/>
      <c r="AL48" s="201"/>
      <c r="AM48" s="201"/>
      <c r="AN48" s="201"/>
      <c r="AO48" s="201"/>
      <c r="AP48" s="201"/>
      <c r="AQ48" s="201"/>
      <c r="AR48" s="201"/>
      <c r="AS48" s="201"/>
      <c r="AT48" s="201"/>
      <c r="AU48" s="201"/>
      <c r="AV48" s="201"/>
      <c r="AW48" s="201"/>
      <c r="AX48" s="201"/>
      <c r="AY48" s="201"/>
      <c r="AZ48" s="201"/>
      <c r="BA48" s="201"/>
      <c r="BB48" s="201"/>
      <c r="BC48" s="201"/>
      <c r="BD48" s="201"/>
      <c r="BE48" s="201"/>
      <c r="BF48" s="201"/>
      <c r="BG48" s="201"/>
      <c r="BH48" s="201"/>
      <c r="BI48" s="201"/>
      <c r="BJ48" s="201"/>
      <c r="BK48" s="201"/>
      <c r="BL48" s="201"/>
      <c r="BM48" s="201"/>
      <c r="BN48" s="201"/>
      <c r="BO48" s="201"/>
      <c r="BP48" s="201"/>
      <c r="BQ48" s="201"/>
      <c r="BR48" s="201"/>
      <c r="BS48" s="201"/>
      <c r="BT48" s="201"/>
      <c r="BU48" s="201"/>
      <c r="BV48" s="201"/>
      <c r="BW48" s="201"/>
      <c r="BX48" s="201"/>
      <c r="BY48" s="201"/>
      <c r="BZ48" s="201"/>
      <c r="CA48" s="201"/>
      <c r="CB48" s="201"/>
      <c r="CC48" s="201"/>
      <c r="CD48" s="201"/>
      <c r="CE48" s="201"/>
      <c r="CF48" s="201"/>
      <c r="CG48" s="201"/>
      <c r="CH48" s="201"/>
      <c r="CI48" s="201"/>
      <c r="CJ48" s="201"/>
      <c r="CK48" s="201"/>
      <c r="CL48" s="201"/>
      <c r="CM48" s="201"/>
      <c r="CN48" s="201"/>
      <c r="CO48" s="201"/>
      <c r="CP48" s="201"/>
      <c r="CQ48" s="201"/>
      <c r="CR48" s="201"/>
      <c r="CS48" s="201"/>
      <c r="CT48" s="201"/>
    </row>
    <row r="49" spans="1:98" customFormat="1" ht="34.15" customHeight="1" x14ac:dyDescent="0.3">
      <c r="A49" s="135"/>
      <c r="B49" s="137"/>
      <c r="C49" s="201"/>
      <c r="D49" s="201"/>
      <c r="E49" s="201"/>
      <c r="F49" s="201"/>
      <c r="G49" s="201"/>
      <c r="H49" s="201"/>
      <c r="I49" s="201"/>
      <c r="J49" s="201"/>
      <c r="L49" s="201"/>
      <c r="M49" s="201"/>
      <c r="N49" s="201"/>
      <c r="O49" s="201"/>
      <c r="P49" s="201"/>
      <c r="Q49" s="201"/>
      <c r="R49" s="201"/>
      <c r="S49" s="201"/>
      <c r="T49" s="201"/>
      <c r="U49" s="201"/>
      <c r="V49" s="201"/>
      <c r="W49" s="201"/>
      <c r="X49" s="201"/>
      <c r="Y49" s="201"/>
      <c r="Z49" s="201"/>
      <c r="AA49" s="201"/>
      <c r="AB49" s="201"/>
      <c r="AC49" s="201"/>
      <c r="AD49" s="201"/>
      <c r="AE49" s="201"/>
      <c r="AF49" s="201"/>
      <c r="AG49" s="201"/>
      <c r="AH49" s="201"/>
      <c r="AI49" s="201"/>
      <c r="AJ49" s="201"/>
      <c r="AK49" s="201"/>
      <c r="AL49" s="201"/>
      <c r="AM49" s="201"/>
      <c r="AN49" s="201"/>
      <c r="AO49" s="201"/>
      <c r="AP49" s="201"/>
      <c r="AQ49" s="201"/>
      <c r="AR49" s="201"/>
      <c r="AS49" s="201"/>
      <c r="AT49" s="201"/>
      <c r="AU49" s="201"/>
      <c r="AV49" s="201"/>
      <c r="AW49" s="201"/>
      <c r="AX49" s="201"/>
      <c r="AY49" s="201"/>
      <c r="AZ49" s="201"/>
      <c r="BA49" s="201"/>
      <c r="BB49" s="201"/>
      <c r="BC49" s="201"/>
      <c r="BD49" s="201"/>
      <c r="BE49" s="201"/>
      <c r="BF49" s="201"/>
      <c r="BG49" s="201"/>
      <c r="BH49" s="201"/>
      <c r="BI49" s="201"/>
      <c r="BJ49" s="201"/>
      <c r="BK49" s="201"/>
      <c r="BL49" s="201"/>
      <c r="BM49" s="201"/>
      <c r="BN49" s="201"/>
      <c r="BO49" s="201"/>
      <c r="BP49" s="201"/>
      <c r="BQ49" s="201"/>
      <c r="BR49" s="201"/>
      <c r="BS49" s="201"/>
      <c r="BT49" s="201"/>
      <c r="BU49" s="201"/>
      <c r="BV49" s="201"/>
      <c r="BW49" s="201"/>
      <c r="BX49" s="201"/>
      <c r="BY49" s="201"/>
      <c r="BZ49" s="201"/>
      <c r="CA49" s="201"/>
      <c r="CB49" s="201"/>
      <c r="CC49" s="201"/>
      <c r="CD49" s="201"/>
      <c r="CE49" s="201"/>
      <c r="CF49" s="201"/>
      <c r="CG49" s="201"/>
      <c r="CH49" s="201"/>
      <c r="CI49" s="201"/>
      <c r="CJ49" s="201"/>
      <c r="CK49" s="201"/>
      <c r="CL49" s="201"/>
      <c r="CM49" s="201"/>
      <c r="CN49" s="201"/>
      <c r="CO49" s="201"/>
      <c r="CP49" s="201"/>
      <c r="CQ49" s="201"/>
      <c r="CR49" s="201"/>
      <c r="CS49" s="201"/>
      <c r="CT49" s="201"/>
    </row>
    <row r="50" spans="1:98" customFormat="1" ht="34.15" customHeight="1" x14ac:dyDescent="0.3">
      <c r="A50" s="135"/>
      <c r="B50" s="137"/>
      <c r="C50" s="201"/>
      <c r="D50" s="201"/>
      <c r="E50" s="201"/>
      <c r="F50" s="201"/>
      <c r="G50" s="201"/>
      <c r="H50" s="201"/>
      <c r="I50" s="201"/>
      <c r="J50" s="201"/>
      <c r="L50" s="201"/>
      <c r="M50" s="201"/>
      <c r="N50" s="201"/>
      <c r="O50" s="201"/>
      <c r="P50" s="201"/>
      <c r="Q50" s="201"/>
      <c r="R50" s="201"/>
      <c r="S50" s="201"/>
      <c r="T50" s="201"/>
      <c r="U50" s="201"/>
      <c r="V50" s="201"/>
      <c r="W50" s="201"/>
      <c r="X50" s="201"/>
      <c r="Y50" s="201"/>
      <c r="Z50" s="201"/>
      <c r="AA50" s="201"/>
      <c r="AB50" s="201"/>
      <c r="AC50" s="201"/>
      <c r="AD50" s="201"/>
      <c r="AE50" s="201"/>
      <c r="AF50" s="201"/>
      <c r="AG50" s="201"/>
      <c r="AH50" s="201"/>
      <c r="AI50" s="201"/>
      <c r="AJ50" s="201"/>
      <c r="AK50" s="201"/>
      <c r="AL50" s="201"/>
      <c r="AM50" s="201"/>
      <c r="AN50" s="201"/>
      <c r="AO50" s="201"/>
      <c r="AP50" s="201"/>
      <c r="AQ50" s="201"/>
      <c r="AR50" s="201"/>
      <c r="AS50" s="201"/>
      <c r="AT50" s="201"/>
      <c r="AU50" s="201"/>
      <c r="AV50" s="201"/>
      <c r="AW50" s="201"/>
      <c r="AX50" s="201"/>
      <c r="AY50" s="201"/>
      <c r="AZ50" s="201"/>
      <c r="BA50" s="201"/>
      <c r="BB50" s="201"/>
      <c r="BC50" s="201"/>
      <c r="BD50" s="201"/>
      <c r="BE50" s="201"/>
      <c r="BF50" s="201"/>
      <c r="BG50" s="201"/>
      <c r="BH50" s="201"/>
      <c r="BI50" s="201"/>
      <c r="BJ50" s="201"/>
      <c r="BK50" s="201"/>
      <c r="BL50" s="201"/>
      <c r="BM50" s="201"/>
      <c r="BN50" s="201"/>
      <c r="BO50" s="201"/>
      <c r="BP50" s="201"/>
      <c r="BQ50" s="201"/>
      <c r="BR50" s="201"/>
      <c r="BS50" s="201"/>
      <c r="BT50" s="201"/>
      <c r="BU50" s="201"/>
      <c r="BV50" s="201"/>
      <c r="BW50" s="201"/>
      <c r="BX50" s="201"/>
      <c r="BY50" s="201"/>
      <c r="BZ50" s="201"/>
      <c r="CA50" s="201"/>
      <c r="CB50" s="201"/>
      <c r="CC50" s="201"/>
      <c r="CD50" s="201"/>
      <c r="CE50" s="201"/>
      <c r="CF50" s="201"/>
      <c r="CG50" s="201"/>
      <c r="CH50" s="201"/>
      <c r="CI50" s="201"/>
      <c r="CJ50" s="201"/>
      <c r="CK50" s="201"/>
      <c r="CL50" s="201"/>
      <c r="CM50" s="201"/>
      <c r="CN50" s="201"/>
      <c r="CO50" s="201"/>
      <c r="CP50" s="201"/>
      <c r="CQ50" s="201"/>
      <c r="CR50" s="201"/>
      <c r="CS50" s="201"/>
      <c r="CT50" s="201"/>
    </row>
    <row r="51" spans="1:98" customFormat="1" ht="34.15" customHeight="1" x14ac:dyDescent="0.3">
      <c r="A51" s="135"/>
      <c r="B51" s="137"/>
      <c r="C51" s="201"/>
      <c r="D51" s="201"/>
      <c r="E51" s="201"/>
      <c r="F51" s="201"/>
      <c r="G51" s="201"/>
      <c r="H51" s="201"/>
      <c r="I51" s="201"/>
      <c r="J51" s="201"/>
      <c r="L51" s="201"/>
      <c r="M51" s="201"/>
      <c r="N51" s="201"/>
      <c r="O51" s="201"/>
      <c r="P51" s="201"/>
      <c r="Q51" s="201"/>
      <c r="R51" s="201"/>
      <c r="S51" s="201"/>
      <c r="T51" s="201"/>
      <c r="U51" s="201"/>
      <c r="V51" s="201"/>
      <c r="W51" s="201"/>
      <c r="X51" s="201"/>
      <c r="Y51" s="201"/>
      <c r="Z51" s="201"/>
      <c r="AA51" s="201"/>
      <c r="AB51" s="201"/>
      <c r="AC51" s="201"/>
      <c r="AD51" s="201"/>
      <c r="AE51" s="201"/>
      <c r="AF51" s="201"/>
      <c r="AG51" s="201"/>
      <c r="AH51" s="201"/>
      <c r="AI51" s="201"/>
      <c r="AJ51" s="201"/>
      <c r="AK51" s="201"/>
      <c r="AL51" s="201"/>
      <c r="AM51" s="201"/>
      <c r="AN51" s="201"/>
      <c r="AO51" s="201"/>
      <c r="AP51" s="201"/>
      <c r="AQ51" s="201"/>
      <c r="AR51" s="201"/>
      <c r="AS51" s="201"/>
      <c r="AT51" s="201"/>
      <c r="AU51" s="201"/>
      <c r="AV51" s="201"/>
      <c r="AW51" s="201"/>
      <c r="AX51" s="201"/>
      <c r="AY51" s="201"/>
      <c r="AZ51" s="201"/>
      <c r="BA51" s="201"/>
      <c r="BB51" s="201"/>
      <c r="BC51" s="201"/>
      <c r="BD51" s="201"/>
      <c r="BE51" s="201"/>
      <c r="BF51" s="201"/>
      <c r="BG51" s="201"/>
      <c r="BH51" s="201"/>
      <c r="BI51" s="201"/>
      <c r="BJ51" s="201"/>
      <c r="BK51" s="201"/>
      <c r="BL51" s="201"/>
      <c r="BM51" s="201"/>
      <c r="BN51" s="201"/>
      <c r="BO51" s="201"/>
      <c r="BP51" s="201"/>
      <c r="BQ51" s="201"/>
      <c r="BR51" s="201"/>
      <c r="BS51" s="201"/>
      <c r="BT51" s="201"/>
      <c r="BU51" s="201"/>
      <c r="BV51" s="201"/>
      <c r="BW51" s="201"/>
      <c r="BX51" s="201"/>
      <c r="BY51" s="201"/>
      <c r="BZ51" s="201"/>
      <c r="CA51" s="201"/>
      <c r="CB51" s="201"/>
      <c r="CC51" s="201"/>
      <c r="CD51" s="201"/>
      <c r="CE51" s="201"/>
      <c r="CF51" s="201"/>
      <c r="CG51" s="201"/>
      <c r="CH51" s="201"/>
      <c r="CI51" s="201"/>
      <c r="CJ51" s="201"/>
      <c r="CK51" s="201"/>
      <c r="CL51" s="201"/>
      <c r="CM51" s="201"/>
      <c r="CN51" s="201"/>
      <c r="CO51" s="201"/>
      <c r="CP51" s="201"/>
      <c r="CQ51" s="201"/>
      <c r="CR51" s="201"/>
      <c r="CS51" s="201"/>
      <c r="CT51" s="201"/>
    </row>
    <row r="52" spans="1:98" customFormat="1" ht="34.15" customHeight="1" x14ac:dyDescent="0.3">
      <c r="A52" s="135"/>
      <c r="B52" s="137"/>
      <c r="C52" s="201"/>
      <c r="D52" s="201"/>
      <c r="E52" s="201"/>
      <c r="F52" s="201"/>
      <c r="G52" s="201"/>
      <c r="H52" s="201"/>
      <c r="I52" s="201"/>
      <c r="J52" s="201"/>
      <c r="L52" s="201"/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1"/>
      <c r="X52" s="201"/>
      <c r="Y52" s="201"/>
      <c r="Z52" s="201"/>
      <c r="AA52" s="201"/>
      <c r="AB52" s="201"/>
      <c r="AC52" s="201"/>
      <c r="AD52" s="201"/>
      <c r="AE52" s="201"/>
      <c r="AF52" s="201"/>
      <c r="AG52" s="201"/>
      <c r="AH52" s="201"/>
      <c r="AI52" s="201"/>
      <c r="AJ52" s="201"/>
      <c r="AK52" s="201"/>
      <c r="AL52" s="201"/>
      <c r="AM52" s="201"/>
      <c r="AN52" s="201"/>
      <c r="AO52" s="201"/>
      <c r="AP52" s="201"/>
      <c r="AQ52" s="201"/>
      <c r="AR52" s="201"/>
      <c r="AS52" s="201"/>
      <c r="AT52" s="201"/>
      <c r="AU52" s="201"/>
      <c r="AV52" s="201"/>
      <c r="AW52" s="201"/>
      <c r="AX52" s="201"/>
      <c r="AY52" s="201"/>
      <c r="AZ52" s="201"/>
      <c r="BA52" s="201"/>
      <c r="BB52" s="201"/>
      <c r="BC52" s="201"/>
      <c r="BD52" s="201"/>
      <c r="BE52" s="201"/>
      <c r="BF52" s="201"/>
      <c r="BG52" s="201"/>
      <c r="BH52" s="201"/>
      <c r="BI52" s="201"/>
      <c r="BJ52" s="201"/>
      <c r="BK52" s="201"/>
      <c r="BL52" s="201"/>
      <c r="BM52" s="201"/>
      <c r="BN52" s="201"/>
      <c r="BO52" s="201"/>
      <c r="BP52" s="201"/>
      <c r="BQ52" s="201"/>
      <c r="BR52" s="201"/>
      <c r="BS52" s="201"/>
      <c r="BT52" s="201"/>
      <c r="BU52" s="201"/>
      <c r="BV52" s="201"/>
      <c r="BW52" s="201"/>
      <c r="BX52" s="201"/>
      <c r="BY52" s="201"/>
      <c r="BZ52" s="201"/>
      <c r="CA52" s="201"/>
      <c r="CB52" s="201"/>
      <c r="CC52" s="201"/>
      <c r="CD52" s="201"/>
      <c r="CE52" s="201"/>
      <c r="CF52" s="201"/>
      <c r="CG52" s="201"/>
      <c r="CH52" s="201"/>
      <c r="CI52" s="201"/>
      <c r="CJ52" s="201"/>
      <c r="CK52" s="201"/>
      <c r="CL52" s="201"/>
      <c r="CM52" s="201"/>
      <c r="CN52" s="201"/>
      <c r="CO52" s="201"/>
      <c r="CP52" s="201"/>
      <c r="CQ52" s="201"/>
      <c r="CR52" s="201"/>
      <c r="CS52" s="201"/>
      <c r="CT52" s="201"/>
    </row>
    <row r="53" spans="1:98" customFormat="1" ht="34.15" customHeight="1" x14ac:dyDescent="0.3">
      <c r="A53" s="135"/>
      <c r="B53" s="137"/>
      <c r="C53" s="201"/>
      <c r="D53" s="201"/>
      <c r="E53" s="201"/>
      <c r="F53" s="201"/>
      <c r="G53" s="201"/>
      <c r="H53" s="201"/>
      <c r="I53" s="201"/>
      <c r="J53" s="201"/>
      <c r="L53" s="201"/>
      <c r="M53" s="201"/>
      <c r="N53" s="201"/>
      <c r="O53" s="201"/>
      <c r="P53" s="201"/>
      <c r="Q53" s="201"/>
      <c r="R53" s="201"/>
      <c r="S53" s="201"/>
      <c r="T53" s="201"/>
      <c r="U53" s="201"/>
      <c r="V53" s="201"/>
      <c r="W53" s="201"/>
      <c r="X53" s="201"/>
      <c r="Y53" s="201"/>
      <c r="Z53" s="201"/>
      <c r="AA53" s="201"/>
      <c r="AB53" s="201"/>
      <c r="AC53" s="201"/>
      <c r="AD53" s="201"/>
      <c r="AE53" s="201"/>
      <c r="AF53" s="201"/>
      <c r="AG53" s="201"/>
      <c r="AH53" s="201"/>
      <c r="AI53" s="201"/>
      <c r="AJ53" s="201"/>
      <c r="AK53" s="201"/>
      <c r="AL53" s="201"/>
      <c r="AM53" s="201"/>
      <c r="AN53" s="201"/>
      <c r="AO53" s="201"/>
      <c r="AP53" s="201"/>
      <c r="AQ53" s="201"/>
      <c r="AR53" s="201"/>
      <c r="AS53" s="201"/>
      <c r="AT53" s="201"/>
      <c r="AU53" s="201"/>
      <c r="AV53" s="201"/>
      <c r="AW53" s="201"/>
      <c r="AX53" s="201"/>
      <c r="AY53" s="201"/>
      <c r="AZ53" s="201"/>
      <c r="BA53" s="201"/>
      <c r="BB53" s="201"/>
      <c r="BC53" s="201"/>
      <c r="BD53" s="201"/>
      <c r="BE53" s="201"/>
      <c r="BF53" s="201"/>
      <c r="BG53" s="201"/>
      <c r="BH53" s="201"/>
      <c r="BI53" s="201"/>
      <c r="BJ53" s="201"/>
      <c r="BK53" s="201"/>
      <c r="BL53" s="201"/>
      <c r="BM53" s="201"/>
      <c r="BN53" s="201"/>
      <c r="BO53" s="201"/>
      <c r="BP53" s="201"/>
      <c r="BQ53" s="201"/>
      <c r="BR53" s="201"/>
      <c r="BS53" s="201"/>
      <c r="BT53" s="201"/>
      <c r="BU53" s="201"/>
      <c r="BV53" s="201"/>
      <c r="BW53" s="201"/>
      <c r="BX53" s="201"/>
      <c r="BY53" s="201"/>
      <c r="BZ53" s="201"/>
      <c r="CA53" s="201"/>
      <c r="CB53" s="201"/>
      <c r="CC53" s="201"/>
      <c r="CD53" s="201"/>
      <c r="CE53" s="201"/>
      <c r="CF53" s="201"/>
      <c r="CG53" s="201"/>
      <c r="CH53" s="201"/>
      <c r="CI53" s="201"/>
      <c r="CJ53" s="201"/>
      <c r="CK53" s="201"/>
      <c r="CL53" s="201"/>
      <c r="CM53" s="201"/>
      <c r="CN53" s="201"/>
      <c r="CO53" s="201"/>
      <c r="CP53" s="201"/>
      <c r="CQ53" s="201"/>
      <c r="CR53" s="201"/>
      <c r="CS53" s="201"/>
      <c r="CT53" s="201"/>
    </row>
    <row r="54" spans="1:98" customFormat="1" ht="34.15" customHeight="1" x14ac:dyDescent="0.3">
      <c r="A54" s="135"/>
      <c r="B54" s="137"/>
      <c r="C54" s="201"/>
      <c r="D54" s="201"/>
      <c r="E54" s="201"/>
      <c r="F54" s="201"/>
      <c r="G54" s="201"/>
      <c r="H54" s="201"/>
      <c r="I54" s="201"/>
      <c r="J54" s="201"/>
      <c r="L54" s="201"/>
      <c r="M54" s="201"/>
      <c r="N54" s="201"/>
      <c r="O54" s="201"/>
      <c r="P54" s="201"/>
      <c r="Q54" s="201"/>
      <c r="R54" s="201"/>
      <c r="S54" s="201"/>
      <c r="T54" s="201"/>
      <c r="U54" s="201"/>
      <c r="V54" s="201"/>
      <c r="W54" s="201"/>
      <c r="X54" s="201"/>
      <c r="Y54" s="201"/>
      <c r="Z54" s="201"/>
      <c r="AA54" s="201"/>
      <c r="AB54" s="201"/>
      <c r="AC54" s="201"/>
      <c r="AD54" s="201"/>
      <c r="AE54" s="201"/>
      <c r="AF54" s="201"/>
      <c r="AG54" s="201"/>
      <c r="AH54" s="201"/>
      <c r="AI54" s="201"/>
      <c r="AJ54" s="201"/>
      <c r="AK54" s="201"/>
      <c r="AL54" s="201"/>
      <c r="AM54" s="201"/>
      <c r="AN54" s="201"/>
      <c r="AO54" s="201"/>
      <c r="AP54" s="201"/>
      <c r="AQ54" s="201"/>
      <c r="AR54" s="201"/>
      <c r="AS54" s="201"/>
      <c r="AT54" s="201"/>
      <c r="AU54" s="201"/>
      <c r="AV54" s="201"/>
      <c r="AW54" s="201"/>
      <c r="AX54" s="201"/>
      <c r="AY54" s="201"/>
      <c r="AZ54" s="201"/>
      <c r="BA54" s="201"/>
      <c r="BB54" s="201"/>
      <c r="BC54" s="201"/>
      <c r="BD54" s="201"/>
      <c r="BE54" s="201"/>
      <c r="BF54" s="201"/>
      <c r="BG54" s="201"/>
      <c r="BH54" s="201"/>
      <c r="BI54" s="201"/>
      <c r="BJ54" s="201"/>
      <c r="BK54" s="201"/>
      <c r="BL54" s="201"/>
      <c r="BM54" s="201"/>
      <c r="BN54" s="201"/>
      <c r="BO54" s="201"/>
      <c r="BP54" s="201"/>
      <c r="BQ54" s="201"/>
      <c r="BR54" s="201"/>
      <c r="BS54" s="201"/>
      <c r="BT54" s="201"/>
      <c r="BU54" s="201"/>
      <c r="BV54" s="201"/>
      <c r="BW54" s="201"/>
      <c r="BX54" s="201"/>
      <c r="BY54" s="201"/>
      <c r="BZ54" s="201"/>
      <c r="CA54" s="201"/>
      <c r="CB54" s="201"/>
      <c r="CC54" s="201"/>
      <c r="CD54" s="201"/>
      <c r="CE54" s="201"/>
      <c r="CF54" s="201"/>
      <c r="CG54" s="201"/>
      <c r="CH54" s="201"/>
      <c r="CI54" s="201"/>
      <c r="CJ54" s="201"/>
      <c r="CK54" s="201"/>
      <c r="CL54" s="201"/>
      <c r="CM54" s="201"/>
      <c r="CN54" s="201"/>
      <c r="CO54" s="201"/>
      <c r="CP54" s="201"/>
      <c r="CQ54" s="201"/>
      <c r="CR54" s="201"/>
      <c r="CS54" s="201"/>
      <c r="CT54" s="201"/>
    </row>
    <row r="55" spans="1:98" customFormat="1" ht="34.15" customHeight="1" x14ac:dyDescent="0.3">
      <c r="A55" s="135"/>
      <c r="B55" s="137"/>
      <c r="C55" s="201"/>
      <c r="D55" s="201"/>
      <c r="E55" s="201"/>
      <c r="F55" s="201"/>
      <c r="G55" s="201"/>
      <c r="H55" s="201"/>
      <c r="I55" s="201"/>
      <c r="J55" s="201"/>
      <c r="L55" s="201"/>
      <c r="M55" s="201"/>
      <c r="N55" s="201"/>
      <c r="O55" s="201"/>
      <c r="P55" s="201"/>
      <c r="Q55" s="201"/>
      <c r="R55" s="201"/>
      <c r="S55" s="201"/>
      <c r="T55" s="201"/>
      <c r="U55" s="201"/>
      <c r="V55" s="201"/>
      <c r="W55" s="201"/>
      <c r="X55" s="201"/>
      <c r="Y55" s="201"/>
      <c r="Z55" s="201"/>
      <c r="AA55" s="201"/>
      <c r="AB55" s="201"/>
      <c r="AC55" s="201"/>
      <c r="AD55" s="201"/>
      <c r="AE55" s="201"/>
      <c r="AF55" s="201"/>
      <c r="AG55" s="201"/>
      <c r="AH55" s="201"/>
      <c r="AI55" s="201"/>
      <c r="AJ55" s="201"/>
      <c r="AK55" s="201"/>
      <c r="AL55" s="201"/>
      <c r="AM55" s="201"/>
      <c r="AN55" s="201"/>
      <c r="AO55" s="201"/>
      <c r="AP55" s="201"/>
      <c r="AQ55" s="201"/>
      <c r="AR55" s="201"/>
      <c r="AS55" s="201"/>
      <c r="AT55" s="201"/>
      <c r="AU55" s="201"/>
      <c r="AV55" s="201"/>
      <c r="AW55" s="201"/>
      <c r="AX55" s="201"/>
      <c r="AY55" s="201"/>
      <c r="AZ55" s="201"/>
      <c r="BA55" s="201"/>
      <c r="BB55" s="201"/>
      <c r="BC55" s="201"/>
      <c r="BD55" s="201"/>
      <c r="BE55" s="201"/>
      <c r="BF55" s="201"/>
      <c r="BG55" s="201"/>
      <c r="BH55" s="201"/>
      <c r="BI55" s="201"/>
      <c r="BJ55" s="201"/>
      <c r="BK55" s="201"/>
      <c r="BL55" s="201"/>
      <c r="BM55" s="201"/>
      <c r="BN55" s="201"/>
      <c r="BO55" s="201"/>
      <c r="BP55" s="201"/>
      <c r="BQ55" s="201"/>
      <c r="BR55" s="201"/>
      <c r="BS55" s="201"/>
      <c r="BT55" s="201"/>
      <c r="BU55" s="201"/>
      <c r="BV55" s="201"/>
      <c r="BW55" s="201"/>
      <c r="BX55" s="201"/>
      <c r="BY55" s="201"/>
      <c r="BZ55" s="201"/>
      <c r="CA55" s="201"/>
      <c r="CB55" s="201"/>
      <c r="CC55" s="201"/>
      <c r="CD55" s="201"/>
      <c r="CE55" s="201"/>
      <c r="CF55" s="201"/>
      <c r="CG55" s="201"/>
      <c r="CH55" s="201"/>
      <c r="CI55" s="201"/>
      <c r="CJ55" s="201"/>
      <c r="CK55" s="201"/>
      <c r="CL55" s="201"/>
      <c r="CM55" s="201"/>
      <c r="CN55" s="201"/>
      <c r="CO55" s="201"/>
      <c r="CP55" s="201"/>
      <c r="CQ55" s="201"/>
      <c r="CR55" s="201"/>
      <c r="CS55" s="201"/>
      <c r="CT55" s="201"/>
    </row>
    <row r="56" spans="1:98" customFormat="1" ht="34.15" customHeight="1" x14ac:dyDescent="0.3">
      <c r="A56" s="135"/>
      <c r="B56" s="137"/>
      <c r="C56" s="201"/>
      <c r="D56" s="201"/>
      <c r="E56" s="201"/>
      <c r="F56" s="201"/>
      <c r="G56" s="201"/>
      <c r="H56" s="201"/>
      <c r="I56" s="201"/>
      <c r="J56" s="201"/>
      <c r="L56" s="201"/>
      <c r="M56" s="201"/>
      <c r="N56" s="201"/>
      <c r="O56" s="201"/>
      <c r="P56" s="201"/>
      <c r="Q56" s="201"/>
      <c r="R56" s="201"/>
      <c r="S56" s="201"/>
      <c r="T56" s="201"/>
      <c r="U56" s="201"/>
      <c r="V56" s="201"/>
      <c r="W56" s="201"/>
      <c r="X56" s="201"/>
      <c r="Y56" s="201"/>
      <c r="Z56" s="201"/>
      <c r="AA56" s="201"/>
      <c r="AB56" s="201"/>
      <c r="AC56" s="201"/>
      <c r="AD56" s="201"/>
      <c r="AE56" s="201"/>
      <c r="AF56" s="201"/>
      <c r="AG56" s="201"/>
      <c r="AH56" s="201"/>
      <c r="AI56" s="201"/>
      <c r="AJ56" s="201"/>
      <c r="AK56" s="201"/>
      <c r="AL56" s="201"/>
      <c r="AM56" s="201"/>
      <c r="AN56" s="201"/>
      <c r="AO56" s="201"/>
      <c r="AP56" s="201"/>
      <c r="AQ56" s="201"/>
      <c r="AR56" s="201"/>
      <c r="AS56" s="201"/>
      <c r="AT56" s="201"/>
      <c r="AU56" s="201"/>
      <c r="AV56" s="201"/>
      <c r="AW56" s="201"/>
      <c r="AX56" s="201"/>
      <c r="AY56" s="201"/>
      <c r="AZ56" s="201"/>
      <c r="BA56" s="201"/>
      <c r="BB56" s="201"/>
      <c r="BC56" s="201"/>
      <c r="BD56" s="201"/>
      <c r="BE56" s="201"/>
      <c r="BF56" s="201"/>
      <c r="BG56" s="201"/>
      <c r="BH56" s="201"/>
      <c r="BI56" s="201"/>
      <c r="BJ56" s="201"/>
      <c r="BK56" s="201"/>
      <c r="BL56" s="201"/>
      <c r="BM56" s="201"/>
      <c r="BN56" s="201"/>
      <c r="BO56" s="201"/>
      <c r="BP56" s="201"/>
      <c r="BQ56" s="201"/>
      <c r="BR56" s="201"/>
      <c r="BS56" s="201"/>
      <c r="BT56" s="201"/>
      <c r="BU56" s="201"/>
      <c r="BV56" s="201"/>
      <c r="BW56" s="201"/>
      <c r="BX56" s="201"/>
      <c r="BY56" s="201"/>
      <c r="BZ56" s="201"/>
      <c r="CA56" s="201"/>
      <c r="CB56" s="201"/>
      <c r="CC56" s="201"/>
      <c r="CD56" s="201"/>
      <c r="CE56" s="201"/>
      <c r="CF56" s="201"/>
      <c r="CG56" s="201"/>
      <c r="CH56" s="201"/>
      <c r="CI56" s="201"/>
      <c r="CJ56" s="201"/>
      <c r="CK56" s="201"/>
      <c r="CL56" s="201"/>
      <c r="CM56" s="201"/>
      <c r="CN56" s="201"/>
      <c r="CO56" s="201"/>
      <c r="CP56" s="201"/>
      <c r="CQ56" s="201"/>
      <c r="CR56" s="201"/>
      <c r="CS56" s="201"/>
      <c r="CT56" s="201"/>
    </row>
    <row r="57" spans="1:98" customFormat="1" ht="34.15" customHeight="1" x14ac:dyDescent="0.3">
      <c r="A57" s="135"/>
      <c r="B57" s="137"/>
      <c r="C57" s="201"/>
      <c r="D57" s="201"/>
      <c r="E57" s="201"/>
      <c r="F57" s="201"/>
      <c r="G57" s="201"/>
      <c r="H57" s="201"/>
      <c r="I57" s="201"/>
      <c r="J57" s="201"/>
      <c r="L57" s="201"/>
      <c r="M57" s="201"/>
      <c r="N57" s="201"/>
      <c r="O57" s="201"/>
      <c r="P57" s="201"/>
      <c r="Q57" s="201"/>
      <c r="R57" s="201"/>
      <c r="S57" s="201"/>
      <c r="T57" s="201"/>
      <c r="U57" s="201"/>
      <c r="V57" s="201"/>
      <c r="W57" s="201"/>
      <c r="X57" s="201"/>
      <c r="Y57" s="201"/>
      <c r="Z57" s="201"/>
      <c r="AA57" s="201"/>
      <c r="AB57" s="201"/>
      <c r="AC57" s="201"/>
      <c r="AD57" s="201"/>
      <c r="AE57" s="201"/>
      <c r="AF57" s="201"/>
      <c r="AG57" s="201"/>
      <c r="AH57" s="201"/>
      <c r="AI57" s="201"/>
      <c r="AJ57" s="201"/>
      <c r="AK57" s="201"/>
      <c r="AL57" s="201"/>
      <c r="AM57" s="201"/>
      <c r="AN57" s="201"/>
      <c r="AO57" s="201"/>
      <c r="AP57" s="201"/>
      <c r="AQ57" s="201"/>
      <c r="AR57" s="201"/>
      <c r="AS57" s="201"/>
      <c r="AT57" s="201"/>
      <c r="AU57" s="201"/>
      <c r="AV57" s="201"/>
      <c r="AW57" s="201"/>
      <c r="AX57" s="201"/>
      <c r="AY57" s="201"/>
      <c r="AZ57" s="201"/>
      <c r="BA57" s="201"/>
      <c r="BB57" s="201"/>
      <c r="BC57" s="201"/>
      <c r="BD57" s="201"/>
      <c r="BE57" s="201"/>
      <c r="BF57" s="201"/>
      <c r="BG57" s="201"/>
      <c r="BH57" s="201"/>
      <c r="BI57" s="201"/>
      <c r="BJ57" s="201"/>
      <c r="BK57" s="201"/>
      <c r="BL57" s="201"/>
      <c r="BM57" s="201"/>
      <c r="BN57" s="201"/>
      <c r="BO57" s="201"/>
      <c r="BP57" s="201"/>
      <c r="BQ57" s="201"/>
      <c r="BR57" s="201"/>
      <c r="BS57" s="201"/>
      <c r="BT57" s="201"/>
      <c r="BU57" s="201"/>
      <c r="BV57" s="201"/>
      <c r="BW57" s="201"/>
      <c r="BX57" s="201"/>
      <c r="BY57" s="201"/>
      <c r="BZ57" s="201"/>
      <c r="CA57" s="201"/>
      <c r="CB57" s="201"/>
      <c r="CC57" s="201"/>
      <c r="CD57" s="201"/>
      <c r="CE57" s="201"/>
      <c r="CF57" s="201"/>
      <c r="CG57" s="201"/>
      <c r="CH57" s="201"/>
      <c r="CI57" s="201"/>
      <c r="CJ57" s="201"/>
      <c r="CK57" s="201"/>
      <c r="CL57" s="201"/>
      <c r="CM57" s="201"/>
      <c r="CN57" s="201"/>
      <c r="CO57" s="201"/>
      <c r="CP57" s="201"/>
      <c r="CQ57" s="201"/>
      <c r="CR57" s="201"/>
      <c r="CS57" s="201"/>
      <c r="CT57" s="201"/>
    </row>
  </sheetData>
  <sortState ref="A3:CT45">
    <sortCondition descending="1" ref="K3:K45"/>
  </sortState>
  <printOptions horizontalCentered="1"/>
  <pageMargins left="0.23622047244094491" right="0.23622047244094491" top="0.74803149606299213" bottom="0.74803149606299213" header="0.31496062992125984" footer="0.31496062992125984"/>
  <pageSetup paperSize="9" scale="4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R71"/>
  <sheetViews>
    <sheetView tabSelected="1" view="pageBreakPreview" zoomScale="30" zoomScaleNormal="55" zoomScaleSheetLayoutView="3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14" sqref="E14"/>
    </sheetView>
  </sheetViews>
  <sheetFormatPr defaultColWidth="9.33203125" defaultRowHeight="40.4" customHeight="1" x14ac:dyDescent="0.5"/>
  <cols>
    <col min="1" max="1" width="7.44140625" style="343" customWidth="1"/>
    <col min="2" max="2" width="33.109375" style="345" customWidth="1"/>
    <col min="3" max="3" width="55.5546875" style="344" customWidth="1"/>
    <col min="4" max="4" width="37.5546875" style="368" customWidth="1"/>
    <col min="5" max="5" width="51.6640625" style="369" customWidth="1"/>
    <col min="6" max="6" width="63.6640625" style="343" customWidth="1"/>
    <col min="7" max="7" width="14.6640625" style="343" customWidth="1"/>
    <col min="8" max="8" width="24" style="370" customWidth="1"/>
    <col min="9" max="9" width="14.6640625" style="343" customWidth="1"/>
    <col min="10" max="10" width="24" style="343" customWidth="1"/>
    <col min="11" max="11" width="1.88671875" style="343" hidden="1" customWidth="1"/>
    <col min="12" max="12" width="42.109375" style="343" customWidth="1"/>
    <col min="13" max="13" width="37" style="343" customWidth="1"/>
    <col min="14" max="14" width="31.109375" style="343" customWidth="1"/>
    <col min="15" max="15" width="29" style="343" customWidth="1"/>
    <col min="16" max="16" width="24.33203125" style="341" hidden="1" customWidth="1"/>
    <col min="17" max="17" width="20.44140625" style="341" hidden="1" customWidth="1"/>
    <col min="18" max="18" width="51.5546875" style="341" hidden="1" customWidth="1"/>
    <col min="19" max="23" width="16.44140625" style="341" hidden="1" customWidth="1"/>
    <col min="24" max="24" width="16.33203125" style="341" hidden="1" customWidth="1"/>
    <col min="25" max="25" width="27.6640625" style="347" customWidth="1"/>
    <col min="26" max="26" width="9.6640625" style="346" hidden="1" customWidth="1"/>
    <col min="27" max="27" width="14.33203125" style="346" hidden="1" customWidth="1"/>
    <col min="28" max="28" width="0" style="348" hidden="1" customWidth="1"/>
    <col min="29" max="16384" width="9.33203125" style="346"/>
  </cols>
  <sheetData>
    <row r="1" spans="1:27" ht="40.4" customHeight="1" thickBot="1" x14ac:dyDescent="0.55000000000000004">
      <c r="A1" s="341"/>
      <c r="B1" s="556" t="s">
        <v>1041</v>
      </c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6"/>
      <c r="N1" s="556"/>
      <c r="O1" s="556"/>
      <c r="P1" s="556"/>
      <c r="Q1" s="556"/>
      <c r="R1" s="556"/>
      <c r="S1" s="556"/>
      <c r="T1" s="556"/>
      <c r="U1" s="556"/>
      <c r="V1" s="556"/>
      <c r="W1" s="556"/>
      <c r="X1" s="556"/>
      <c r="Y1" s="556"/>
    </row>
    <row r="2" spans="1:27" s="349" customFormat="1" ht="49.5" customHeight="1" x14ac:dyDescent="0.3">
      <c r="A2" s="538" t="s">
        <v>76</v>
      </c>
      <c r="B2" s="538" t="s">
        <v>1040</v>
      </c>
      <c r="C2" s="539" t="s">
        <v>1039</v>
      </c>
      <c r="D2" s="540" t="s">
        <v>987</v>
      </c>
      <c r="E2" s="541"/>
      <c r="F2" s="538" t="s">
        <v>13</v>
      </c>
      <c r="G2" s="538" t="s">
        <v>409</v>
      </c>
      <c r="H2" s="542" t="s">
        <v>77</v>
      </c>
      <c r="I2" s="538" t="s">
        <v>753</v>
      </c>
      <c r="J2" s="538" t="s">
        <v>22</v>
      </c>
      <c r="K2" s="538" t="s">
        <v>225</v>
      </c>
      <c r="L2" s="538" t="s">
        <v>324</v>
      </c>
      <c r="M2" s="543" t="s">
        <v>887</v>
      </c>
      <c r="N2" s="543" t="s">
        <v>888</v>
      </c>
      <c r="O2" s="543" t="s">
        <v>889</v>
      </c>
      <c r="P2" s="544" t="s">
        <v>886</v>
      </c>
      <c r="Q2" s="545" t="s">
        <v>377</v>
      </c>
      <c r="R2" s="545" t="s">
        <v>646</v>
      </c>
      <c r="S2" s="546" t="s">
        <v>887</v>
      </c>
      <c r="T2" s="546" t="s">
        <v>888</v>
      </c>
      <c r="U2" s="546" t="s">
        <v>889</v>
      </c>
      <c r="V2" s="547" t="s">
        <v>911</v>
      </c>
      <c r="W2" s="547" t="s">
        <v>912</v>
      </c>
      <c r="X2" s="547" t="s">
        <v>913</v>
      </c>
      <c r="Y2" s="554" t="s">
        <v>50</v>
      </c>
      <c r="Z2" s="441" t="s">
        <v>356</v>
      </c>
      <c r="AA2" s="441" t="s">
        <v>357</v>
      </c>
    </row>
    <row r="3" spans="1:27" s="349" customFormat="1" ht="49.5" customHeight="1" x14ac:dyDescent="0.3">
      <c r="A3" s="538"/>
      <c r="B3" s="538"/>
      <c r="C3" s="548"/>
      <c r="D3" s="549"/>
      <c r="E3" s="550"/>
      <c r="F3" s="538"/>
      <c r="G3" s="538"/>
      <c r="H3" s="542"/>
      <c r="I3" s="538"/>
      <c r="J3" s="538"/>
      <c r="K3" s="538"/>
      <c r="L3" s="538"/>
      <c r="M3" s="551"/>
      <c r="N3" s="551"/>
      <c r="O3" s="551"/>
      <c r="P3" s="545"/>
      <c r="Q3" s="552"/>
      <c r="R3" s="552"/>
      <c r="S3" s="553"/>
      <c r="T3" s="553"/>
      <c r="U3" s="553"/>
      <c r="V3" s="553"/>
      <c r="W3" s="553"/>
      <c r="X3" s="553"/>
      <c r="Y3" s="555"/>
      <c r="Z3" s="441"/>
      <c r="AA3" s="441"/>
    </row>
    <row r="4" spans="1:27" ht="84.05" customHeight="1" x14ac:dyDescent="0.5">
      <c r="A4" s="402">
        <v>1</v>
      </c>
      <c r="B4" s="404" t="s">
        <v>907</v>
      </c>
      <c r="C4" s="403" t="s">
        <v>916</v>
      </c>
      <c r="D4" s="405" t="s">
        <v>689</v>
      </c>
      <c r="E4" s="406" t="s">
        <v>988</v>
      </c>
      <c r="F4" s="402" t="s">
        <v>1031</v>
      </c>
      <c r="G4" s="402">
        <v>2006</v>
      </c>
      <c r="H4" s="407">
        <v>39048</v>
      </c>
      <c r="I4" s="402">
        <v>9</v>
      </c>
      <c r="J4" s="402">
        <v>4</v>
      </c>
      <c r="K4" s="402" t="s">
        <v>224</v>
      </c>
      <c r="L4" s="402">
        <v>151</v>
      </c>
      <c r="M4" s="408">
        <f>N4+O4</f>
        <v>13678.7</v>
      </c>
      <c r="N4" s="408">
        <v>12912.6</v>
      </c>
      <c r="O4" s="408">
        <v>766.1</v>
      </c>
      <c r="P4" s="352">
        <f t="shared" ref="P4:P37" si="0">Q4+R4</f>
        <v>13672.400000000001</v>
      </c>
      <c r="Q4" s="352">
        <v>13030.7</v>
      </c>
      <c r="R4" s="352">
        <v>641.70000000000005</v>
      </c>
      <c r="S4" s="352"/>
      <c r="T4" s="352"/>
      <c r="U4" s="352"/>
      <c r="V4" s="352"/>
      <c r="W4" s="352"/>
      <c r="X4" s="352"/>
      <c r="Y4" s="353" t="s">
        <v>670</v>
      </c>
      <c r="Z4" s="355">
        <v>4.7</v>
      </c>
      <c r="AA4" s="355">
        <v>57.3</v>
      </c>
    </row>
    <row r="5" spans="1:27" ht="84.05" customHeight="1" x14ac:dyDescent="0.5">
      <c r="A5" s="402">
        <v>2</v>
      </c>
      <c r="B5" s="404" t="s">
        <v>908</v>
      </c>
      <c r="C5" s="403" t="s">
        <v>917</v>
      </c>
      <c r="D5" s="405" t="s">
        <v>689</v>
      </c>
      <c r="E5" s="406" t="s">
        <v>988</v>
      </c>
      <c r="F5" s="402" t="s">
        <v>1031</v>
      </c>
      <c r="G5" s="402">
        <v>2007</v>
      </c>
      <c r="H5" s="407">
        <v>39437</v>
      </c>
      <c r="I5" s="402">
        <v>9</v>
      </c>
      <c r="J5" s="402">
        <v>4</v>
      </c>
      <c r="K5" s="402" t="s">
        <v>223</v>
      </c>
      <c r="L5" s="402">
        <v>142</v>
      </c>
      <c r="M5" s="408">
        <f t="shared" ref="M5:M66" si="1">N5+O5</f>
        <v>14167.800000000001</v>
      </c>
      <c r="N5" s="408">
        <v>11982.2</v>
      </c>
      <c r="O5" s="408">
        <v>2185.6</v>
      </c>
      <c r="P5" s="352">
        <f t="shared" si="0"/>
        <v>14167</v>
      </c>
      <c r="Q5" s="352">
        <v>11985.1</v>
      </c>
      <c r="R5" s="352">
        <v>2181.9</v>
      </c>
      <c r="S5" s="352"/>
      <c r="T5" s="352"/>
      <c r="U5" s="352"/>
      <c r="V5" s="352"/>
      <c r="W5" s="352"/>
      <c r="X5" s="352"/>
      <c r="Y5" s="353" t="s">
        <v>670</v>
      </c>
      <c r="Z5" s="355">
        <v>4.8</v>
      </c>
      <c r="AA5" s="355">
        <v>20.100000000000001</v>
      </c>
    </row>
    <row r="6" spans="1:27" ht="84.05" customHeight="1" x14ac:dyDescent="0.5">
      <c r="A6" s="402">
        <v>3</v>
      </c>
      <c r="B6" s="404" t="s">
        <v>909</v>
      </c>
      <c r="C6" s="403" t="s">
        <v>918</v>
      </c>
      <c r="D6" s="405" t="s">
        <v>684</v>
      </c>
      <c r="E6" s="406" t="s">
        <v>989</v>
      </c>
      <c r="F6" s="402" t="s">
        <v>1032</v>
      </c>
      <c r="G6" s="402">
        <v>2008</v>
      </c>
      <c r="H6" s="407">
        <v>39849</v>
      </c>
      <c r="I6" s="402">
        <v>10</v>
      </c>
      <c r="J6" s="402">
        <v>1</v>
      </c>
      <c r="K6" s="409" t="s">
        <v>217</v>
      </c>
      <c r="L6" s="402">
        <v>54</v>
      </c>
      <c r="M6" s="408">
        <f t="shared" si="1"/>
        <v>2843.6</v>
      </c>
      <c r="N6" s="408">
        <v>2355</v>
      </c>
      <c r="O6" s="408">
        <v>488.6</v>
      </c>
      <c r="P6" s="352">
        <f t="shared" si="0"/>
        <v>2816</v>
      </c>
      <c r="Q6" s="352">
        <v>2355</v>
      </c>
      <c r="R6" s="352">
        <v>461</v>
      </c>
      <c r="S6" s="371"/>
      <c r="T6" s="371"/>
      <c r="U6" s="371"/>
      <c r="V6" s="371"/>
      <c r="W6" s="371"/>
      <c r="X6" s="371"/>
      <c r="Y6" s="353" t="s">
        <v>670</v>
      </c>
      <c r="Z6" s="355">
        <v>1.2</v>
      </c>
      <c r="AA6" s="355"/>
    </row>
    <row r="7" spans="1:27" ht="84.05" customHeight="1" x14ac:dyDescent="0.5">
      <c r="A7" s="402">
        <v>4</v>
      </c>
      <c r="B7" s="404" t="s">
        <v>40</v>
      </c>
      <c r="C7" s="403" t="s">
        <v>919</v>
      </c>
      <c r="D7" s="405" t="s">
        <v>690</v>
      </c>
      <c r="E7" s="406" t="s">
        <v>991</v>
      </c>
      <c r="F7" s="402" t="s">
        <v>1033</v>
      </c>
      <c r="G7" s="402">
        <v>2009</v>
      </c>
      <c r="H7" s="407">
        <v>40329</v>
      </c>
      <c r="I7" s="402">
        <v>12</v>
      </c>
      <c r="J7" s="402">
        <v>2</v>
      </c>
      <c r="K7" s="402" t="s">
        <v>218</v>
      </c>
      <c r="L7" s="402">
        <v>109</v>
      </c>
      <c r="M7" s="408">
        <f t="shared" si="1"/>
        <v>8491.2999999999993</v>
      </c>
      <c r="N7" s="408">
        <v>7360.5</v>
      </c>
      <c r="O7" s="408">
        <v>1130.8</v>
      </c>
      <c r="P7" s="352">
        <f t="shared" si="0"/>
        <v>10754.6</v>
      </c>
      <c r="Q7" s="352">
        <v>7364</v>
      </c>
      <c r="R7" s="352">
        <f>2259.8+1130.8</f>
        <v>3390.6000000000004</v>
      </c>
      <c r="S7" s="371"/>
      <c r="T7" s="371"/>
      <c r="U7" s="374"/>
      <c r="V7" s="371"/>
      <c r="W7" s="371"/>
      <c r="X7" s="371"/>
      <c r="Y7" s="353" t="s">
        <v>670</v>
      </c>
      <c r="Z7" s="355">
        <v>13.5</v>
      </c>
      <c r="AA7" s="355">
        <f>901.5+218+33.1</f>
        <v>1152.5999999999999</v>
      </c>
    </row>
    <row r="8" spans="1:27" ht="84.05" customHeight="1" x14ac:dyDescent="0.5">
      <c r="A8" s="402">
        <v>5</v>
      </c>
      <c r="B8" s="404" t="s">
        <v>895</v>
      </c>
      <c r="C8" s="403" t="s">
        <v>920</v>
      </c>
      <c r="D8" s="405" t="s">
        <v>690</v>
      </c>
      <c r="E8" s="406" t="s">
        <v>991</v>
      </c>
      <c r="F8" s="402" t="s">
        <v>1033</v>
      </c>
      <c r="G8" s="402">
        <v>2010</v>
      </c>
      <c r="H8" s="407">
        <v>40618</v>
      </c>
      <c r="I8" s="402">
        <v>10</v>
      </c>
      <c r="J8" s="402">
        <v>3</v>
      </c>
      <c r="K8" s="402" t="s">
        <v>220</v>
      </c>
      <c r="L8" s="402">
        <v>119</v>
      </c>
      <c r="M8" s="408">
        <f t="shared" si="1"/>
        <v>8547.1</v>
      </c>
      <c r="N8" s="408">
        <v>8347.7000000000007</v>
      </c>
      <c r="O8" s="408">
        <v>199.4</v>
      </c>
      <c r="P8" s="352">
        <f t="shared" si="0"/>
        <v>8534.7999999999993</v>
      </c>
      <c r="Q8" s="352">
        <v>8419.7999999999993</v>
      </c>
      <c r="R8" s="352">
        <v>115</v>
      </c>
      <c r="S8" s="371"/>
      <c r="T8" s="371"/>
      <c r="U8" s="371"/>
      <c r="V8" s="371"/>
      <c r="W8" s="371"/>
      <c r="X8" s="371"/>
      <c r="Y8" s="353" t="s">
        <v>670</v>
      </c>
      <c r="Z8" s="355">
        <v>5.4</v>
      </c>
      <c r="AA8" s="355">
        <v>662</v>
      </c>
    </row>
    <row r="9" spans="1:27" ht="84.05" customHeight="1" x14ac:dyDescent="0.5">
      <c r="A9" s="402">
        <v>6</v>
      </c>
      <c r="B9" s="404" t="s">
        <v>844</v>
      </c>
      <c r="C9" s="403" t="s">
        <v>921</v>
      </c>
      <c r="D9" s="405" t="s">
        <v>684</v>
      </c>
      <c r="E9" s="406" t="s">
        <v>989</v>
      </c>
      <c r="F9" s="402" t="s">
        <v>995</v>
      </c>
      <c r="G9" s="402">
        <v>2011</v>
      </c>
      <c r="H9" s="407">
        <v>40847</v>
      </c>
      <c r="I9" s="402">
        <v>10</v>
      </c>
      <c r="J9" s="402">
        <v>2</v>
      </c>
      <c r="K9" s="409" t="s">
        <v>219</v>
      </c>
      <c r="L9" s="402">
        <v>80</v>
      </c>
      <c r="M9" s="408">
        <f t="shared" si="1"/>
        <v>4223</v>
      </c>
      <c r="N9" s="408">
        <v>4223</v>
      </c>
      <c r="O9" s="408">
        <v>0</v>
      </c>
      <c r="P9" s="352">
        <f t="shared" si="0"/>
        <v>4226.7</v>
      </c>
      <c r="Q9" s="352">
        <v>4226.7</v>
      </c>
      <c r="R9" s="352">
        <v>0</v>
      </c>
      <c r="S9" s="371"/>
      <c r="T9" s="371"/>
      <c r="U9" s="371"/>
      <c r="V9" s="371"/>
      <c r="W9" s="371"/>
      <c r="X9" s="371"/>
      <c r="Y9" s="353" t="s">
        <v>670</v>
      </c>
      <c r="Z9" s="355">
        <v>2.6</v>
      </c>
      <c r="AA9" s="355">
        <v>449</v>
      </c>
    </row>
    <row r="10" spans="1:27" ht="84.05" customHeight="1" x14ac:dyDescent="0.5">
      <c r="A10" s="402">
        <v>7</v>
      </c>
      <c r="B10" s="404" t="s">
        <v>4</v>
      </c>
      <c r="C10" s="403" t="s">
        <v>922</v>
      </c>
      <c r="D10" s="405" t="s">
        <v>688</v>
      </c>
      <c r="E10" s="406" t="s">
        <v>992</v>
      </c>
      <c r="F10" s="402" t="s">
        <v>1032</v>
      </c>
      <c r="G10" s="409">
        <v>2011</v>
      </c>
      <c r="H10" s="407">
        <v>40847</v>
      </c>
      <c r="I10" s="409">
        <v>10</v>
      </c>
      <c r="J10" s="402">
        <v>2</v>
      </c>
      <c r="K10" s="409" t="s">
        <v>219</v>
      </c>
      <c r="L10" s="402">
        <v>80</v>
      </c>
      <c r="M10" s="408">
        <f t="shared" si="1"/>
        <v>5627.6</v>
      </c>
      <c r="N10" s="408">
        <v>5627.6</v>
      </c>
      <c r="O10" s="408">
        <v>0</v>
      </c>
      <c r="P10" s="352">
        <f t="shared" si="0"/>
        <v>5631.1</v>
      </c>
      <c r="Q10" s="352">
        <v>5631.1</v>
      </c>
      <c r="R10" s="352">
        <v>0</v>
      </c>
      <c r="S10" s="371"/>
      <c r="T10" s="371"/>
      <c r="U10" s="371"/>
      <c r="V10" s="371"/>
      <c r="W10" s="371"/>
      <c r="X10" s="371"/>
      <c r="Y10" s="353" t="s">
        <v>670</v>
      </c>
      <c r="Z10" s="355">
        <v>2.4</v>
      </c>
      <c r="AA10" s="355"/>
    </row>
    <row r="11" spans="1:27" ht="84.05" customHeight="1" x14ac:dyDescent="0.5">
      <c r="A11" s="402">
        <v>8</v>
      </c>
      <c r="B11" s="404" t="s">
        <v>47</v>
      </c>
      <c r="C11" s="403" t="s">
        <v>923</v>
      </c>
      <c r="D11" s="405" t="s">
        <v>687</v>
      </c>
      <c r="E11" s="406" t="s">
        <v>699</v>
      </c>
      <c r="F11" s="402" t="s">
        <v>1031</v>
      </c>
      <c r="G11" s="402">
        <v>2013</v>
      </c>
      <c r="H11" s="407">
        <v>41421</v>
      </c>
      <c r="I11" s="402" t="s">
        <v>9</v>
      </c>
      <c r="J11" s="402">
        <v>2</v>
      </c>
      <c r="K11" s="402" t="s">
        <v>216</v>
      </c>
      <c r="L11" s="402">
        <v>93</v>
      </c>
      <c r="M11" s="408">
        <f t="shared" si="1"/>
        <v>6052.2</v>
      </c>
      <c r="N11" s="408">
        <v>5688.8</v>
      </c>
      <c r="O11" s="408">
        <v>363.4</v>
      </c>
      <c r="P11" s="352">
        <f t="shared" si="0"/>
        <v>6056.6</v>
      </c>
      <c r="Q11" s="352">
        <v>5688.6</v>
      </c>
      <c r="R11" s="352">
        <v>368</v>
      </c>
      <c r="S11" s="352"/>
      <c r="T11" s="352"/>
      <c r="U11" s="352"/>
      <c r="V11" s="352"/>
      <c r="W11" s="352"/>
      <c r="X11" s="352"/>
      <c r="Y11" s="353" t="s">
        <v>670</v>
      </c>
      <c r="Z11" s="355">
        <v>91.7</v>
      </c>
      <c r="AA11" s="355">
        <v>675.1</v>
      </c>
    </row>
    <row r="12" spans="1:27" ht="84.05" customHeight="1" x14ac:dyDescent="0.5">
      <c r="A12" s="402">
        <v>9</v>
      </c>
      <c r="B12" s="404" t="s">
        <v>848</v>
      </c>
      <c r="C12" s="403" t="s">
        <v>924</v>
      </c>
      <c r="D12" s="405" t="s">
        <v>690</v>
      </c>
      <c r="E12" s="406" t="s">
        <v>991</v>
      </c>
      <c r="F12" s="402" t="s">
        <v>1033</v>
      </c>
      <c r="G12" s="402">
        <v>2013</v>
      </c>
      <c r="H12" s="407">
        <v>41507</v>
      </c>
      <c r="I12" s="402">
        <v>17</v>
      </c>
      <c r="J12" s="402">
        <v>1</v>
      </c>
      <c r="K12" s="402" t="s">
        <v>221</v>
      </c>
      <c r="L12" s="402">
        <v>127</v>
      </c>
      <c r="M12" s="408">
        <f t="shared" si="1"/>
        <v>9808.0999999999985</v>
      </c>
      <c r="N12" s="408">
        <v>8271.2999999999993</v>
      </c>
      <c r="O12" s="408">
        <v>1536.8</v>
      </c>
      <c r="P12" s="352">
        <f t="shared" si="0"/>
        <v>9826.7999999999993</v>
      </c>
      <c r="Q12" s="352">
        <v>8283</v>
      </c>
      <c r="R12" s="352">
        <v>1543.8</v>
      </c>
      <c r="S12" s="371"/>
      <c r="T12" s="371"/>
      <c r="U12" s="371"/>
      <c r="V12" s="371"/>
      <c r="W12" s="371"/>
      <c r="X12" s="371"/>
      <c r="Y12" s="353" t="s">
        <v>772</v>
      </c>
      <c r="Z12" s="355">
        <v>21.5</v>
      </c>
      <c r="AA12" s="355">
        <v>1111.8</v>
      </c>
    </row>
    <row r="13" spans="1:27" ht="84.05" customHeight="1" x14ac:dyDescent="0.5">
      <c r="A13" s="402">
        <v>10</v>
      </c>
      <c r="B13" s="404" t="s">
        <v>850</v>
      </c>
      <c r="C13" s="403" t="s">
        <v>925</v>
      </c>
      <c r="D13" s="405" t="s">
        <v>684</v>
      </c>
      <c r="E13" s="406" t="s">
        <v>989</v>
      </c>
      <c r="F13" s="402" t="s">
        <v>1032</v>
      </c>
      <c r="G13" s="402">
        <v>2013</v>
      </c>
      <c r="H13" s="407">
        <v>41603</v>
      </c>
      <c r="I13" s="402" t="s">
        <v>61</v>
      </c>
      <c r="J13" s="402">
        <v>1</v>
      </c>
      <c r="K13" s="409" t="s">
        <v>222</v>
      </c>
      <c r="L13" s="402">
        <v>72</v>
      </c>
      <c r="M13" s="408">
        <f t="shared" si="1"/>
        <v>3376.8</v>
      </c>
      <c r="N13" s="408">
        <v>3016.8</v>
      </c>
      <c r="O13" s="408">
        <v>360</v>
      </c>
      <c r="P13" s="352">
        <f t="shared" si="0"/>
        <v>3376.9</v>
      </c>
      <c r="Q13" s="352">
        <v>3016.9</v>
      </c>
      <c r="R13" s="352">
        <v>360</v>
      </c>
      <c r="S13" s="371"/>
      <c r="T13" s="371"/>
      <c r="U13" s="371"/>
      <c r="V13" s="371"/>
      <c r="W13" s="371"/>
      <c r="X13" s="371"/>
      <c r="Y13" s="353" t="s">
        <v>670</v>
      </c>
      <c r="Z13" s="355">
        <v>1.3</v>
      </c>
      <c r="AA13" s="355">
        <v>378.2</v>
      </c>
    </row>
    <row r="14" spans="1:27" ht="84.05" customHeight="1" x14ac:dyDescent="0.5">
      <c r="A14" s="402">
        <v>11</v>
      </c>
      <c r="B14" s="404" t="s">
        <v>896</v>
      </c>
      <c r="C14" s="403" t="s">
        <v>926</v>
      </c>
      <c r="D14" s="405" t="s">
        <v>690</v>
      </c>
      <c r="E14" s="406" t="s">
        <v>991</v>
      </c>
      <c r="F14" s="402" t="s">
        <v>1033</v>
      </c>
      <c r="G14" s="402">
        <v>2014</v>
      </c>
      <c r="H14" s="407">
        <v>41687</v>
      </c>
      <c r="I14" s="402">
        <v>17</v>
      </c>
      <c r="J14" s="402">
        <v>1</v>
      </c>
      <c r="K14" s="402" t="s">
        <v>221</v>
      </c>
      <c r="L14" s="402">
        <v>128</v>
      </c>
      <c r="M14" s="408">
        <f t="shared" si="1"/>
        <v>8805.7999999999993</v>
      </c>
      <c r="N14" s="408">
        <v>8288.9</v>
      </c>
      <c r="O14" s="408">
        <v>516.9</v>
      </c>
      <c r="P14" s="352">
        <f t="shared" si="0"/>
        <v>8823.6</v>
      </c>
      <c r="Q14" s="352">
        <v>8306.7000000000007</v>
      </c>
      <c r="R14" s="352">
        <v>516.9</v>
      </c>
      <c r="S14" s="371"/>
      <c r="T14" s="371"/>
      <c r="U14" s="371"/>
      <c r="V14" s="371"/>
      <c r="W14" s="371"/>
      <c r="X14" s="371"/>
      <c r="Y14" s="353" t="s">
        <v>772</v>
      </c>
      <c r="Z14" s="355">
        <v>21.5</v>
      </c>
      <c r="AA14" s="355">
        <v>987.2</v>
      </c>
    </row>
    <row r="15" spans="1:27" ht="84.05" customHeight="1" x14ac:dyDescent="0.5">
      <c r="A15" s="402">
        <v>12</v>
      </c>
      <c r="B15" s="404" t="s">
        <v>897</v>
      </c>
      <c r="C15" s="403" t="s">
        <v>927</v>
      </c>
      <c r="D15" s="405" t="s">
        <v>690</v>
      </c>
      <c r="E15" s="406" t="s">
        <v>991</v>
      </c>
      <c r="F15" s="402" t="s">
        <v>1033</v>
      </c>
      <c r="G15" s="402">
        <v>2014</v>
      </c>
      <c r="H15" s="407">
        <v>41991</v>
      </c>
      <c r="I15" s="402" t="s">
        <v>280</v>
      </c>
      <c r="J15" s="402">
        <v>1</v>
      </c>
      <c r="K15" s="402" t="s">
        <v>281</v>
      </c>
      <c r="L15" s="402">
        <v>125</v>
      </c>
      <c r="M15" s="408">
        <f t="shared" si="1"/>
        <v>8775</v>
      </c>
      <c r="N15" s="408">
        <v>8073.9</v>
      </c>
      <c r="O15" s="408">
        <v>701.1</v>
      </c>
      <c r="P15" s="352">
        <f t="shared" si="0"/>
        <v>8787.9</v>
      </c>
      <c r="Q15" s="352">
        <v>8082.3</v>
      </c>
      <c r="R15" s="352">
        <v>705.6</v>
      </c>
      <c r="S15" s="371"/>
      <c r="T15" s="371"/>
      <c r="U15" s="371"/>
      <c r="V15" s="371"/>
      <c r="W15" s="371"/>
      <c r="X15" s="371"/>
      <c r="Y15" s="353" t="s">
        <v>772</v>
      </c>
      <c r="Z15" s="355">
        <v>13.7</v>
      </c>
      <c r="AA15" s="355">
        <f>867.1+119.1</f>
        <v>986.2</v>
      </c>
    </row>
    <row r="16" spans="1:27" ht="84.05" customHeight="1" x14ac:dyDescent="0.5">
      <c r="A16" s="402">
        <v>13</v>
      </c>
      <c r="B16" s="404" t="s">
        <v>894</v>
      </c>
      <c r="C16" s="403" t="s">
        <v>928</v>
      </c>
      <c r="D16" s="405" t="s">
        <v>690</v>
      </c>
      <c r="E16" s="406" t="s">
        <v>991</v>
      </c>
      <c r="F16" s="402" t="s">
        <v>1033</v>
      </c>
      <c r="G16" s="402">
        <v>2014</v>
      </c>
      <c r="H16" s="407">
        <v>41991</v>
      </c>
      <c r="I16" s="402" t="s">
        <v>280</v>
      </c>
      <c r="J16" s="402">
        <v>1</v>
      </c>
      <c r="K16" s="402" t="s">
        <v>221</v>
      </c>
      <c r="L16" s="402">
        <v>128</v>
      </c>
      <c r="M16" s="408">
        <f t="shared" si="1"/>
        <v>8768</v>
      </c>
      <c r="N16" s="408">
        <v>8229.9</v>
      </c>
      <c r="O16" s="408">
        <v>538.1</v>
      </c>
      <c r="P16" s="352">
        <f t="shared" si="0"/>
        <v>8768.9000000000015</v>
      </c>
      <c r="Q16" s="352">
        <v>8234.7000000000007</v>
      </c>
      <c r="R16" s="352">
        <v>534.20000000000005</v>
      </c>
      <c r="S16" s="371"/>
      <c r="T16" s="371"/>
      <c r="U16" s="371"/>
      <c r="V16" s="371"/>
      <c r="W16" s="371"/>
      <c r="X16" s="371"/>
      <c r="Y16" s="353" t="s">
        <v>772</v>
      </c>
      <c r="Z16" s="355">
        <v>14.4</v>
      </c>
      <c r="AA16" s="355">
        <f>858.8+119.7</f>
        <v>978.5</v>
      </c>
    </row>
    <row r="17" spans="1:27" ht="84.05" customHeight="1" x14ac:dyDescent="0.5">
      <c r="A17" s="402">
        <v>14</v>
      </c>
      <c r="B17" s="404" t="s">
        <v>898</v>
      </c>
      <c r="C17" s="403" t="s">
        <v>929</v>
      </c>
      <c r="D17" s="405" t="s">
        <v>686</v>
      </c>
      <c r="E17" s="406" t="s">
        <v>990</v>
      </c>
      <c r="F17" s="402" t="s">
        <v>1032</v>
      </c>
      <c r="G17" s="402">
        <v>2015</v>
      </c>
      <c r="H17" s="407">
        <v>42009</v>
      </c>
      <c r="I17" s="402">
        <v>17</v>
      </c>
      <c r="J17" s="402">
        <v>1</v>
      </c>
      <c r="K17" s="402" t="s">
        <v>323</v>
      </c>
      <c r="L17" s="402">
        <v>169</v>
      </c>
      <c r="M17" s="408">
        <f t="shared" si="1"/>
        <v>8561.6</v>
      </c>
      <c r="N17" s="408">
        <v>8526</v>
      </c>
      <c r="O17" s="408">
        <v>35.6</v>
      </c>
      <c r="P17" s="352">
        <f t="shared" si="0"/>
        <v>8561.2999999999993</v>
      </c>
      <c r="Q17" s="352">
        <v>8526</v>
      </c>
      <c r="R17" s="352">
        <v>35.299999999999997</v>
      </c>
      <c r="S17" s="352"/>
      <c r="T17" s="352"/>
      <c r="U17" s="352"/>
      <c r="V17" s="352"/>
      <c r="W17" s="352"/>
      <c r="X17" s="352"/>
      <c r="Y17" s="353" t="s">
        <v>772</v>
      </c>
      <c r="Z17" s="355">
        <v>6.6</v>
      </c>
      <c r="AA17" s="355">
        <f>775.9+136</f>
        <v>911.9</v>
      </c>
    </row>
    <row r="18" spans="1:27" ht="84.05" customHeight="1" x14ac:dyDescent="0.5">
      <c r="A18" s="402">
        <v>15</v>
      </c>
      <c r="B18" s="404" t="s">
        <v>899</v>
      </c>
      <c r="C18" s="403" t="s">
        <v>930</v>
      </c>
      <c r="D18" s="405" t="s">
        <v>690</v>
      </c>
      <c r="E18" s="406" t="s">
        <v>991</v>
      </c>
      <c r="F18" s="402" t="s">
        <v>1032</v>
      </c>
      <c r="G18" s="402">
        <v>2015</v>
      </c>
      <c r="H18" s="407">
        <v>42088</v>
      </c>
      <c r="I18" s="402">
        <v>17</v>
      </c>
      <c r="J18" s="402">
        <v>1</v>
      </c>
      <c r="K18" s="402" t="s">
        <v>823</v>
      </c>
      <c r="L18" s="402">
        <v>144</v>
      </c>
      <c r="M18" s="408">
        <f t="shared" si="1"/>
        <v>9631.2000000000007</v>
      </c>
      <c r="N18" s="408">
        <v>8136.6</v>
      </c>
      <c r="O18" s="408">
        <v>1494.6</v>
      </c>
      <c r="P18" s="352">
        <f t="shared" si="0"/>
        <v>9672</v>
      </c>
      <c r="Q18" s="352">
        <v>8177.4</v>
      </c>
      <c r="R18" s="352">
        <v>1494.6</v>
      </c>
      <c r="S18" s="371"/>
      <c r="T18" s="371"/>
      <c r="U18" s="371"/>
      <c r="V18" s="371"/>
      <c r="W18" s="371"/>
      <c r="X18" s="371"/>
      <c r="Y18" s="353" t="s">
        <v>772</v>
      </c>
      <c r="Z18" s="355">
        <v>15.2</v>
      </c>
      <c r="AA18" s="355">
        <f>632.7+116.1+7.8</f>
        <v>756.6</v>
      </c>
    </row>
    <row r="19" spans="1:27" ht="84.05" customHeight="1" x14ac:dyDescent="0.5">
      <c r="A19" s="402">
        <v>16</v>
      </c>
      <c r="B19" s="404" t="s">
        <v>900</v>
      </c>
      <c r="C19" s="403" t="s">
        <v>931</v>
      </c>
      <c r="D19" s="405" t="s">
        <v>690</v>
      </c>
      <c r="E19" s="406" t="s">
        <v>991</v>
      </c>
      <c r="F19" s="402" t="s">
        <v>1033</v>
      </c>
      <c r="G19" s="402" t="s">
        <v>505</v>
      </c>
      <c r="H19" s="407">
        <v>42291</v>
      </c>
      <c r="I19" s="402">
        <v>17</v>
      </c>
      <c r="J19" s="402">
        <v>1</v>
      </c>
      <c r="K19" s="402" t="s">
        <v>372</v>
      </c>
      <c r="L19" s="402">
        <v>96</v>
      </c>
      <c r="M19" s="408">
        <f t="shared" si="1"/>
        <v>6286.8</v>
      </c>
      <c r="N19" s="408">
        <v>5313.1</v>
      </c>
      <c r="O19" s="408">
        <v>973.7</v>
      </c>
      <c r="P19" s="352">
        <f t="shared" si="0"/>
        <v>6319.5999999999995</v>
      </c>
      <c r="Q19" s="352">
        <v>5315.7</v>
      </c>
      <c r="R19" s="352">
        <v>1003.9</v>
      </c>
      <c r="S19" s="371"/>
      <c r="T19" s="371"/>
      <c r="U19" s="371"/>
      <c r="V19" s="371"/>
      <c r="W19" s="371"/>
      <c r="X19" s="371"/>
      <c r="Y19" s="353" t="s">
        <v>772</v>
      </c>
      <c r="Z19" s="355">
        <v>7.2</v>
      </c>
      <c r="AA19" s="355">
        <f>669.3+115.1</f>
        <v>784.4</v>
      </c>
    </row>
    <row r="20" spans="1:27" ht="84.05" customHeight="1" x14ac:dyDescent="0.5">
      <c r="A20" s="402">
        <v>17</v>
      </c>
      <c r="B20" s="404" t="s">
        <v>412</v>
      </c>
      <c r="C20" s="403" t="s">
        <v>932</v>
      </c>
      <c r="D20" s="405" t="s">
        <v>685</v>
      </c>
      <c r="E20" s="406" t="s">
        <v>993</v>
      </c>
      <c r="F20" s="402" t="s">
        <v>1034</v>
      </c>
      <c r="G20" s="402">
        <v>2016</v>
      </c>
      <c r="H20" s="407">
        <v>42643</v>
      </c>
      <c r="I20" s="402">
        <v>10</v>
      </c>
      <c r="J20" s="402">
        <v>4</v>
      </c>
      <c r="K20" s="402" t="s">
        <v>417</v>
      </c>
      <c r="L20" s="402">
        <v>356</v>
      </c>
      <c r="M20" s="408">
        <f t="shared" si="1"/>
        <v>13107.6</v>
      </c>
      <c r="N20" s="408">
        <v>13107.6</v>
      </c>
      <c r="O20" s="408">
        <v>0</v>
      </c>
      <c r="P20" s="352">
        <f t="shared" si="0"/>
        <v>13108.9</v>
      </c>
      <c r="Q20" s="352">
        <v>13108.9</v>
      </c>
      <c r="R20" s="352">
        <v>0</v>
      </c>
      <c r="S20" s="352"/>
      <c r="T20" s="352"/>
      <c r="U20" s="352"/>
      <c r="V20" s="352"/>
      <c r="W20" s="352"/>
      <c r="X20" s="352"/>
      <c r="Y20" s="353" t="s">
        <v>670</v>
      </c>
      <c r="Z20" s="355">
        <v>3.8</v>
      </c>
      <c r="AA20" s="355">
        <v>1556.3</v>
      </c>
    </row>
    <row r="21" spans="1:27" ht="84.05" customHeight="1" x14ac:dyDescent="0.5">
      <c r="A21" s="402">
        <v>18</v>
      </c>
      <c r="B21" s="404" t="s">
        <v>421</v>
      </c>
      <c r="C21" s="403" t="s">
        <v>933</v>
      </c>
      <c r="D21" s="405" t="s">
        <v>685</v>
      </c>
      <c r="E21" s="406" t="s">
        <v>993</v>
      </c>
      <c r="F21" s="402" t="s">
        <v>1034</v>
      </c>
      <c r="G21" s="402">
        <v>2016</v>
      </c>
      <c r="H21" s="407">
        <v>42699</v>
      </c>
      <c r="I21" s="402">
        <v>17</v>
      </c>
      <c r="J21" s="402">
        <v>1</v>
      </c>
      <c r="K21" s="402" t="s">
        <v>426</v>
      </c>
      <c r="L21" s="402">
        <v>119</v>
      </c>
      <c r="M21" s="408">
        <f t="shared" si="1"/>
        <v>6348.2</v>
      </c>
      <c r="N21" s="408">
        <v>6348.2</v>
      </c>
      <c r="O21" s="408">
        <v>0</v>
      </c>
      <c r="P21" s="352">
        <f t="shared" si="0"/>
        <v>6348.3</v>
      </c>
      <c r="Q21" s="352">
        <v>6348.3</v>
      </c>
      <c r="R21" s="352"/>
      <c r="S21" s="352"/>
      <c r="T21" s="352"/>
      <c r="U21" s="352"/>
      <c r="V21" s="352"/>
      <c r="W21" s="352"/>
      <c r="X21" s="352"/>
      <c r="Y21" s="353" t="s">
        <v>669</v>
      </c>
      <c r="Z21" s="355">
        <v>3.8</v>
      </c>
      <c r="AA21" s="355">
        <v>1265.5</v>
      </c>
    </row>
    <row r="22" spans="1:27" ht="84.05" customHeight="1" x14ac:dyDescent="0.5">
      <c r="A22" s="402">
        <v>19</v>
      </c>
      <c r="B22" s="404" t="s">
        <v>422</v>
      </c>
      <c r="C22" s="403" t="s">
        <v>934</v>
      </c>
      <c r="D22" s="405" t="s">
        <v>685</v>
      </c>
      <c r="E22" s="406" t="s">
        <v>993</v>
      </c>
      <c r="F22" s="402" t="s">
        <v>1034</v>
      </c>
      <c r="G22" s="402">
        <v>2016</v>
      </c>
      <c r="H22" s="407">
        <v>42732</v>
      </c>
      <c r="I22" s="402">
        <v>10</v>
      </c>
      <c r="J22" s="402">
        <v>4</v>
      </c>
      <c r="K22" s="402" t="s">
        <v>427</v>
      </c>
      <c r="L22" s="402">
        <v>436</v>
      </c>
      <c r="M22" s="408">
        <f t="shared" si="1"/>
        <v>12879.7</v>
      </c>
      <c r="N22" s="410">
        <v>12879.7</v>
      </c>
      <c r="O22" s="408">
        <v>0</v>
      </c>
      <c r="P22" s="352">
        <f t="shared" si="0"/>
        <v>12879.3</v>
      </c>
      <c r="Q22" s="352">
        <v>12879.3</v>
      </c>
      <c r="R22" s="352"/>
      <c r="S22" s="352"/>
      <c r="T22" s="352"/>
      <c r="U22" s="352"/>
      <c r="V22" s="352"/>
      <c r="W22" s="352"/>
      <c r="X22" s="352"/>
      <c r="Y22" s="353" t="s">
        <v>670</v>
      </c>
      <c r="Z22" s="355"/>
      <c r="AA22" s="355">
        <v>1680.1</v>
      </c>
    </row>
    <row r="23" spans="1:27" ht="84.05" customHeight="1" x14ac:dyDescent="0.5">
      <c r="A23" s="402">
        <v>20</v>
      </c>
      <c r="B23" s="404" t="s">
        <v>901</v>
      </c>
      <c r="C23" s="403" t="s">
        <v>935</v>
      </c>
      <c r="D23" s="405" t="s">
        <v>684</v>
      </c>
      <c r="E23" s="406" t="s">
        <v>989</v>
      </c>
      <c r="F23" s="402" t="s">
        <v>974</v>
      </c>
      <c r="G23" s="402">
        <v>2016</v>
      </c>
      <c r="H23" s="407">
        <v>42734</v>
      </c>
      <c r="I23" s="402">
        <v>17</v>
      </c>
      <c r="J23" s="402">
        <v>1</v>
      </c>
      <c r="K23" s="402" t="s">
        <v>462</v>
      </c>
      <c r="L23" s="402">
        <v>151</v>
      </c>
      <c r="M23" s="408">
        <f t="shared" si="1"/>
        <v>8970.4</v>
      </c>
      <c r="N23" s="408">
        <v>8492.1</v>
      </c>
      <c r="O23" s="408">
        <v>478.29999999999995</v>
      </c>
      <c r="P23" s="352">
        <f t="shared" si="0"/>
        <v>8974</v>
      </c>
      <c r="Q23" s="352">
        <v>8495.7000000000007</v>
      </c>
      <c r="R23" s="352">
        <v>478.3</v>
      </c>
      <c r="S23" s="352"/>
      <c r="T23" s="352"/>
      <c r="U23" s="352"/>
      <c r="V23" s="352"/>
      <c r="W23" s="352"/>
      <c r="X23" s="352"/>
      <c r="Y23" s="353" t="s">
        <v>772</v>
      </c>
      <c r="Z23" s="355">
        <v>62.8</v>
      </c>
      <c r="AA23" s="355">
        <v>1452</v>
      </c>
    </row>
    <row r="24" spans="1:27" ht="84.05" customHeight="1" x14ac:dyDescent="0.5">
      <c r="A24" s="402">
        <v>21</v>
      </c>
      <c r="B24" s="404" t="s">
        <v>902</v>
      </c>
      <c r="C24" s="403" t="s">
        <v>936</v>
      </c>
      <c r="D24" s="405" t="s">
        <v>684</v>
      </c>
      <c r="E24" s="406" t="s">
        <v>989</v>
      </c>
      <c r="F24" s="402" t="s">
        <v>974</v>
      </c>
      <c r="G24" s="402">
        <v>2017</v>
      </c>
      <c r="H24" s="407">
        <v>42816</v>
      </c>
      <c r="I24" s="402">
        <v>17</v>
      </c>
      <c r="J24" s="402">
        <v>1</v>
      </c>
      <c r="K24" s="402" t="s">
        <v>453</v>
      </c>
      <c r="L24" s="402">
        <v>164</v>
      </c>
      <c r="M24" s="408">
        <f t="shared" si="1"/>
        <v>8795.6</v>
      </c>
      <c r="N24" s="410">
        <v>8129.1</v>
      </c>
      <c r="O24" s="408">
        <v>666.5</v>
      </c>
      <c r="P24" s="352">
        <f t="shared" si="0"/>
        <v>8795.7999999999993</v>
      </c>
      <c r="Q24" s="352">
        <v>8129.3</v>
      </c>
      <c r="R24" s="352">
        <v>666.5</v>
      </c>
      <c r="S24" s="352"/>
      <c r="T24" s="352"/>
      <c r="U24" s="352"/>
      <c r="V24" s="352"/>
      <c r="W24" s="352"/>
      <c r="X24" s="352"/>
      <c r="Y24" s="353" t="s">
        <v>772</v>
      </c>
      <c r="Z24" s="356">
        <v>57.2</v>
      </c>
      <c r="AA24" s="356">
        <v>1588.9</v>
      </c>
    </row>
    <row r="25" spans="1:27" ht="84.05" customHeight="1" x14ac:dyDescent="0.5">
      <c r="A25" s="402">
        <v>22</v>
      </c>
      <c r="B25" s="404" t="s">
        <v>903</v>
      </c>
      <c r="C25" s="403" t="s">
        <v>937</v>
      </c>
      <c r="D25" s="405" t="s">
        <v>684</v>
      </c>
      <c r="E25" s="406" t="s">
        <v>989</v>
      </c>
      <c r="F25" s="402" t="s">
        <v>974</v>
      </c>
      <c r="G25" s="402">
        <v>2017</v>
      </c>
      <c r="H25" s="407">
        <v>43004</v>
      </c>
      <c r="I25" s="402">
        <v>17</v>
      </c>
      <c r="J25" s="402">
        <v>1</v>
      </c>
      <c r="K25" s="402" t="s">
        <v>471</v>
      </c>
      <c r="L25" s="402">
        <v>142</v>
      </c>
      <c r="M25" s="408">
        <f t="shared" si="1"/>
        <v>8893.7000000000007</v>
      </c>
      <c r="N25" s="408">
        <v>7882.6</v>
      </c>
      <c r="O25" s="408">
        <v>1011.0999999999999</v>
      </c>
      <c r="P25" s="352">
        <f t="shared" si="0"/>
        <v>8896.2999999999993</v>
      </c>
      <c r="Q25" s="352">
        <v>7885.2</v>
      </c>
      <c r="R25" s="352">
        <v>1011.1</v>
      </c>
      <c r="S25" s="352"/>
      <c r="T25" s="352"/>
      <c r="U25" s="352"/>
      <c r="V25" s="352"/>
      <c r="W25" s="352"/>
      <c r="X25" s="352"/>
      <c r="Y25" s="353" t="s">
        <v>772</v>
      </c>
      <c r="Z25" s="357">
        <v>4.2</v>
      </c>
      <c r="AA25" s="357">
        <v>1213.2</v>
      </c>
    </row>
    <row r="26" spans="1:27" ht="84.05" customHeight="1" x14ac:dyDescent="0.5">
      <c r="A26" s="402">
        <v>23</v>
      </c>
      <c r="B26" s="404" t="s">
        <v>604</v>
      </c>
      <c r="C26" s="403" t="s">
        <v>938</v>
      </c>
      <c r="D26" s="405" t="s">
        <v>684</v>
      </c>
      <c r="E26" s="406" t="s">
        <v>989</v>
      </c>
      <c r="F26" s="402" t="s">
        <v>1032</v>
      </c>
      <c r="G26" s="402">
        <v>2017</v>
      </c>
      <c r="H26" s="407">
        <v>43097</v>
      </c>
      <c r="I26" s="402">
        <v>17</v>
      </c>
      <c r="J26" s="402">
        <v>1</v>
      </c>
      <c r="K26" s="402" t="s">
        <v>473</v>
      </c>
      <c r="L26" s="402">
        <v>192</v>
      </c>
      <c r="M26" s="408">
        <f t="shared" si="1"/>
        <v>8259.5</v>
      </c>
      <c r="N26" s="410">
        <v>7393.3</v>
      </c>
      <c r="O26" s="408">
        <v>866.2</v>
      </c>
      <c r="P26" s="352">
        <f t="shared" si="0"/>
        <v>8259</v>
      </c>
      <c r="Q26" s="352">
        <v>7392.8</v>
      </c>
      <c r="R26" s="352">
        <v>866.2</v>
      </c>
      <c r="S26" s="352"/>
      <c r="T26" s="352"/>
      <c r="U26" s="352"/>
      <c r="V26" s="352"/>
      <c r="W26" s="352"/>
      <c r="X26" s="352"/>
      <c r="Y26" s="353" t="s">
        <v>772</v>
      </c>
      <c r="Z26" s="357">
        <v>4.4000000000000004</v>
      </c>
      <c r="AA26" s="357">
        <v>1542.8</v>
      </c>
    </row>
    <row r="27" spans="1:27" ht="84.05" customHeight="1" x14ac:dyDescent="0.5">
      <c r="A27" s="402">
        <v>24</v>
      </c>
      <c r="B27" s="404" t="s">
        <v>601</v>
      </c>
      <c r="C27" s="403" t="s">
        <v>939</v>
      </c>
      <c r="D27" s="405" t="s">
        <v>685</v>
      </c>
      <c r="E27" s="406" t="s">
        <v>993</v>
      </c>
      <c r="F27" s="402" t="s">
        <v>1034</v>
      </c>
      <c r="G27" s="402">
        <v>2018</v>
      </c>
      <c r="H27" s="407">
        <v>43157</v>
      </c>
      <c r="I27" s="402">
        <v>16</v>
      </c>
      <c r="J27" s="402">
        <v>1</v>
      </c>
      <c r="K27" s="402" t="s">
        <v>667</v>
      </c>
      <c r="L27" s="402">
        <v>155</v>
      </c>
      <c r="M27" s="408">
        <f t="shared" si="1"/>
        <v>6918.9000000000005</v>
      </c>
      <c r="N27" s="410">
        <v>6725.8</v>
      </c>
      <c r="O27" s="408">
        <v>193.1</v>
      </c>
      <c r="P27" s="352">
        <f t="shared" si="0"/>
        <v>6918.9000000000005</v>
      </c>
      <c r="Q27" s="352">
        <v>6725.8</v>
      </c>
      <c r="R27" s="352">
        <v>193.1</v>
      </c>
      <c r="S27" s="352"/>
      <c r="T27" s="352"/>
      <c r="U27" s="352"/>
      <c r="V27" s="352"/>
      <c r="W27" s="352"/>
      <c r="X27" s="352"/>
      <c r="Y27" s="353" t="s">
        <v>772</v>
      </c>
      <c r="Z27" s="357">
        <v>4.8</v>
      </c>
      <c r="AA27" s="357">
        <v>915.9</v>
      </c>
    </row>
    <row r="28" spans="1:27" ht="84.05" customHeight="1" x14ac:dyDescent="0.5">
      <c r="A28" s="402">
        <v>25</v>
      </c>
      <c r="B28" s="404" t="s">
        <v>466</v>
      </c>
      <c r="C28" s="403" t="s">
        <v>940</v>
      </c>
      <c r="D28" s="405" t="s">
        <v>685</v>
      </c>
      <c r="E28" s="406" t="s">
        <v>993</v>
      </c>
      <c r="F28" s="402" t="s">
        <v>1034</v>
      </c>
      <c r="G28" s="402">
        <v>2018</v>
      </c>
      <c r="H28" s="407">
        <v>43217</v>
      </c>
      <c r="I28" s="402">
        <v>10</v>
      </c>
      <c r="J28" s="402">
        <v>4</v>
      </c>
      <c r="K28" s="402" t="s">
        <v>479</v>
      </c>
      <c r="L28" s="402">
        <v>360</v>
      </c>
      <c r="M28" s="408">
        <f t="shared" si="1"/>
        <v>13550.8</v>
      </c>
      <c r="N28" s="408">
        <v>12033.8</v>
      </c>
      <c r="O28" s="408">
        <v>1517</v>
      </c>
      <c r="P28" s="352">
        <f t="shared" si="0"/>
        <v>13550.8</v>
      </c>
      <c r="Q28" s="352">
        <v>12033.8</v>
      </c>
      <c r="R28" s="352">
        <v>1517</v>
      </c>
      <c r="S28" s="352"/>
      <c r="T28" s="352"/>
      <c r="U28" s="352"/>
      <c r="V28" s="352"/>
      <c r="W28" s="352"/>
      <c r="X28" s="352"/>
      <c r="Y28" s="353" t="s">
        <v>670</v>
      </c>
      <c r="Z28" s="357">
        <v>43.2</v>
      </c>
      <c r="AA28" s="357">
        <v>1858.4</v>
      </c>
    </row>
    <row r="29" spans="1:27" ht="84.05" customHeight="1" x14ac:dyDescent="0.5">
      <c r="A29" s="402">
        <v>26</v>
      </c>
      <c r="B29" s="404" t="s">
        <v>562</v>
      </c>
      <c r="C29" s="403" t="s">
        <v>941</v>
      </c>
      <c r="D29" s="405" t="s">
        <v>690</v>
      </c>
      <c r="E29" s="406" t="s">
        <v>991</v>
      </c>
      <c r="F29" s="402" t="s">
        <v>1033</v>
      </c>
      <c r="G29" s="402">
        <v>2018</v>
      </c>
      <c r="H29" s="407">
        <v>43427</v>
      </c>
      <c r="I29" s="402">
        <v>17</v>
      </c>
      <c r="J29" s="402">
        <v>1</v>
      </c>
      <c r="K29" s="402" t="s">
        <v>564</v>
      </c>
      <c r="L29" s="402">
        <v>160</v>
      </c>
      <c r="M29" s="408">
        <f t="shared" si="1"/>
        <v>9679.2000000000007</v>
      </c>
      <c r="N29" s="408">
        <v>8176.2</v>
      </c>
      <c r="O29" s="408">
        <v>1503</v>
      </c>
      <c r="P29" s="352">
        <f t="shared" si="0"/>
        <v>9681.2999999999993</v>
      </c>
      <c r="Q29" s="352">
        <v>8178.3</v>
      </c>
      <c r="R29" s="352">
        <v>1503</v>
      </c>
      <c r="S29" s="371"/>
      <c r="T29" s="371"/>
      <c r="U29" s="371"/>
      <c r="V29" s="371"/>
      <c r="W29" s="371"/>
      <c r="X29" s="371"/>
      <c r="Y29" s="353" t="s">
        <v>772</v>
      </c>
      <c r="Z29" s="357">
        <v>4.4000000000000004</v>
      </c>
      <c r="AA29" s="357">
        <v>1561.6</v>
      </c>
    </row>
    <row r="30" spans="1:27" ht="84.05" customHeight="1" x14ac:dyDescent="0.5">
      <c r="A30" s="402">
        <v>27</v>
      </c>
      <c r="B30" s="404" t="s">
        <v>563</v>
      </c>
      <c r="C30" s="403" t="s">
        <v>942</v>
      </c>
      <c r="D30" s="405" t="s">
        <v>685</v>
      </c>
      <c r="E30" s="406" t="s">
        <v>993</v>
      </c>
      <c r="F30" s="402" t="s">
        <v>1035</v>
      </c>
      <c r="G30" s="402">
        <v>2018</v>
      </c>
      <c r="H30" s="407">
        <v>43459</v>
      </c>
      <c r="I30" s="402">
        <v>17</v>
      </c>
      <c r="J30" s="402">
        <v>1</v>
      </c>
      <c r="K30" s="402" t="s">
        <v>668</v>
      </c>
      <c r="L30" s="402">
        <v>208</v>
      </c>
      <c r="M30" s="408">
        <f t="shared" si="1"/>
        <v>8160.7999999999993</v>
      </c>
      <c r="N30" s="408">
        <v>7304.9</v>
      </c>
      <c r="O30" s="408">
        <v>855.9</v>
      </c>
      <c r="P30" s="352">
        <f t="shared" si="0"/>
        <v>8178.5</v>
      </c>
      <c r="Q30" s="352">
        <v>7304.9</v>
      </c>
      <c r="R30" s="352">
        <v>873.6</v>
      </c>
      <c r="S30" s="352"/>
      <c r="T30" s="352"/>
      <c r="U30" s="352"/>
      <c r="V30" s="352"/>
      <c r="W30" s="352"/>
      <c r="X30" s="352"/>
      <c r="Y30" s="353" t="s">
        <v>772</v>
      </c>
      <c r="Z30" s="357">
        <v>4.2</v>
      </c>
      <c r="AA30" s="357">
        <v>1552.5</v>
      </c>
    </row>
    <row r="31" spans="1:27" ht="84.05" customHeight="1" x14ac:dyDescent="0.5">
      <c r="A31" s="402">
        <v>28</v>
      </c>
      <c r="B31" s="404" t="s">
        <v>618</v>
      </c>
      <c r="C31" s="403" t="s">
        <v>943</v>
      </c>
      <c r="D31" s="405" t="s">
        <v>685</v>
      </c>
      <c r="E31" s="406" t="s">
        <v>993</v>
      </c>
      <c r="F31" s="402" t="s">
        <v>1034</v>
      </c>
      <c r="G31" s="402">
        <v>2019</v>
      </c>
      <c r="H31" s="407">
        <v>43601</v>
      </c>
      <c r="I31" s="402">
        <v>18</v>
      </c>
      <c r="J31" s="402">
        <v>1</v>
      </c>
      <c r="K31" s="402" t="s">
        <v>619</v>
      </c>
      <c r="L31" s="402">
        <v>234</v>
      </c>
      <c r="M31" s="408">
        <f t="shared" si="1"/>
        <v>8577.2999999999993</v>
      </c>
      <c r="N31" s="408">
        <v>8327.5</v>
      </c>
      <c r="O31" s="408">
        <v>249.8</v>
      </c>
      <c r="P31" s="352">
        <f t="shared" si="0"/>
        <v>8577.1</v>
      </c>
      <c r="Q31" s="352">
        <v>8327.2000000000007</v>
      </c>
      <c r="R31" s="352">
        <v>249.9</v>
      </c>
      <c r="S31" s="352"/>
      <c r="T31" s="352"/>
      <c r="U31" s="352"/>
      <c r="V31" s="352"/>
      <c r="W31" s="352"/>
      <c r="X31" s="352"/>
      <c r="Y31" s="353" t="s">
        <v>772</v>
      </c>
      <c r="Z31" s="357">
        <v>4.3</v>
      </c>
      <c r="AA31" s="357">
        <v>1679</v>
      </c>
    </row>
    <row r="32" spans="1:27" ht="84.05" customHeight="1" x14ac:dyDescent="0.5">
      <c r="A32" s="402">
        <v>29</v>
      </c>
      <c r="B32" s="404" t="s">
        <v>638</v>
      </c>
      <c r="C32" s="403" t="s">
        <v>944</v>
      </c>
      <c r="D32" s="405" t="s">
        <v>684</v>
      </c>
      <c r="E32" s="406" t="s">
        <v>989</v>
      </c>
      <c r="F32" s="402" t="s">
        <v>974</v>
      </c>
      <c r="G32" s="402">
        <v>2019</v>
      </c>
      <c r="H32" s="407">
        <v>43784</v>
      </c>
      <c r="I32" s="402">
        <v>25</v>
      </c>
      <c r="J32" s="402">
        <v>2</v>
      </c>
      <c r="K32" s="402" t="s">
        <v>663</v>
      </c>
      <c r="L32" s="402">
        <v>348</v>
      </c>
      <c r="M32" s="408">
        <f t="shared" si="1"/>
        <v>25493.8</v>
      </c>
      <c r="N32" s="408">
        <v>19688.599999999999</v>
      </c>
      <c r="O32" s="408">
        <v>5805.2</v>
      </c>
      <c r="P32" s="352">
        <f t="shared" si="0"/>
        <v>25567.7</v>
      </c>
      <c r="Q32" s="352">
        <v>19691.7</v>
      </c>
      <c r="R32" s="352">
        <f>1440+4436</f>
        <v>5876</v>
      </c>
      <c r="S32" s="352"/>
      <c r="T32" s="352"/>
      <c r="U32" s="352"/>
      <c r="V32" s="352"/>
      <c r="W32" s="352"/>
      <c r="X32" s="352"/>
      <c r="Y32" s="353" t="s">
        <v>772</v>
      </c>
      <c r="Z32" s="359">
        <v>12.9</v>
      </c>
      <c r="AA32" s="358">
        <f>13470.4-3475.4</f>
        <v>9995</v>
      </c>
    </row>
    <row r="33" spans="1:27" ht="84.05" customHeight="1" x14ac:dyDescent="0.5">
      <c r="A33" s="402">
        <v>30</v>
      </c>
      <c r="B33" s="404" t="s">
        <v>639</v>
      </c>
      <c r="C33" s="403" t="s">
        <v>945</v>
      </c>
      <c r="D33" s="405" t="s">
        <v>690</v>
      </c>
      <c r="E33" s="406" t="s">
        <v>991</v>
      </c>
      <c r="F33" s="402" t="s">
        <v>1033</v>
      </c>
      <c r="G33" s="402">
        <v>2019</v>
      </c>
      <c r="H33" s="407">
        <v>43794</v>
      </c>
      <c r="I33" s="402">
        <v>17</v>
      </c>
      <c r="J33" s="402">
        <v>1</v>
      </c>
      <c r="K33" s="402" t="s">
        <v>658</v>
      </c>
      <c r="L33" s="402">
        <v>160</v>
      </c>
      <c r="M33" s="408">
        <f t="shared" si="1"/>
        <v>9935.8000000000011</v>
      </c>
      <c r="N33" s="408">
        <v>8605.1</v>
      </c>
      <c r="O33" s="408">
        <v>1330.7</v>
      </c>
      <c r="P33" s="352">
        <f t="shared" si="0"/>
        <v>9968.9</v>
      </c>
      <c r="Q33" s="352">
        <v>8604.5</v>
      </c>
      <c r="R33" s="352">
        <v>1364.4</v>
      </c>
      <c r="S33" s="371"/>
      <c r="T33" s="371"/>
      <c r="U33" s="371"/>
      <c r="V33" s="371"/>
      <c r="W33" s="371"/>
      <c r="X33" s="371"/>
      <c r="Y33" s="353" t="s">
        <v>772</v>
      </c>
      <c r="Z33" s="357">
        <v>4.3</v>
      </c>
      <c r="AA33" s="357">
        <v>1315.6</v>
      </c>
    </row>
    <row r="34" spans="1:27" s="347" customFormat="1" ht="84.05" customHeight="1" x14ac:dyDescent="0.3">
      <c r="A34" s="402">
        <v>31</v>
      </c>
      <c r="B34" s="411" t="s">
        <v>633</v>
      </c>
      <c r="C34" s="403" t="s">
        <v>946</v>
      </c>
      <c r="D34" s="405" t="s">
        <v>684</v>
      </c>
      <c r="E34" s="406" t="s">
        <v>989</v>
      </c>
      <c r="F34" s="402" t="s">
        <v>1032</v>
      </c>
      <c r="G34" s="402">
        <v>2019</v>
      </c>
      <c r="H34" s="412">
        <v>43795</v>
      </c>
      <c r="I34" s="402">
        <v>19</v>
      </c>
      <c r="J34" s="402">
        <v>1</v>
      </c>
      <c r="K34" s="402" t="s">
        <v>636</v>
      </c>
      <c r="L34" s="402">
        <v>179</v>
      </c>
      <c r="M34" s="408">
        <f t="shared" si="1"/>
        <v>9538</v>
      </c>
      <c r="N34" s="408">
        <v>8822.5</v>
      </c>
      <c r="O34" s="408">
        <v>715.5</v>
      </c>
      <c r="P34" s="352">
        <f t="shared" si="0"/>
        <v>9551.2000000000007</v>
      </c>
      <c r="Q34" s="352">
        <v>8822.5</v>
      </c>
      <c r="R34" s="352">
        <v>728.7</v>
      </c>
      <c r="S34" s="352"/>
      <c r="T34" s="352"/>
      <c r="U34" s="352"/>
      <c r="V34" s="352"/>
      <c r="W34" s="352"/>
      <c r="X34" s="352"/>
      <c r="Y34" s="353" t="s">
        <v>772</v>
      </c>
      <c r="Z34" s="361">
        <v>4.3</v>
      </c>
      <c r="AA34" s="361">
        <v>1464.7</v>
      </c>
    </row>
    <row r="35" spans="1:27" ht="84.05" customHeight="1" x14ac:dyDescent="0.5">
      <c r="A35" s="402">
        <v>32</v>
      </c>
      <c r="B35" s="404" t="s">
        <v>642</v>
      </c>
      <c r="C35" s="403" t="s">
        <v>947</v>
      </c>
      <c r="D35" s="405" t="s">
        <v>685</v>
      </c>
      <c r="E35" s="406" t="s">
        <v>993</v>
      </c>
      <c r="F35" s="402" t="s">
        <v>1034</v>
      </c>
      <c r="G35" s="402">
        <v>2019</v>
      </c>
      <c r="H35" s="407">
        <v>43811</v>
      </c>
      <c r="I35" s="402">
        <v>18</v>
      </c>
      <c r="J35" s="402">
        <v>1</v>
      </c>
      <c r="K35" s="402" t="s">
        <v>664</v>
      </c>
      <c r="L35" s="402">
        <v>198</v>
      </c>
      <c r="M35" s="408">
        <f t="shared" si="1"/>
        <v>8775.2999999999993</v>
      </c>
      <c r="N35" s="408">
        <v>8679.5</v>
      </c>
      <c r="O35" s="408">
        <v>95.8</v>
      </c>
      <c r="P35" s="352">
        <f t="shared" si="0"/>
        <v>8775.2999999999993</v>
      </c>
      <c r="Q35" s="352">
        <v>8679.5</v>
      </c>
      <c r="R35" s="352">
        <v>95.8</v>
      </c>
      <c r="S35" s="352"/>
      <c r="T35" s="352"/>
      <c r="U35" s="352"/>
      <c r="V35" s="352"/>
      <c r="W35" s="352"/>
      <c r="X35" s="352"/>
      <c r="Y35" s="353" t="s">
        <v>772</v>
      </c>
      <c r="Z35" s="357">
        <v>4.3</v>
      </c>
      <c r="AA35" s="357">
        <v>1467.1</v>
      </c>
    </row>
    <row r="36" spans="1:27" ht="84.05" customHeight="1" x14ac:dyDescent="0.5">
      <c r="A36" s="402">
        <v>33</v>
      </c>
      <c r="B36" s="411" t="s">
        <v>643</v>
      </c>
      <c r="C36" s="403" t="s">
        <v>948</v>
      </c>
      <c r="D36" s="405" t="s">
        <v>685</v>
      </c>
      <c r="E36" s="406" t="s">
        <v>993</v>
      </c>
      <c r="F36" s="402" t="s">
        <v>1035</v>
      </c>
      <c r="G36" s="402">
        <v>2019</v>
      </c>
      <c r="H36" s="407">
        <v>43811</v>
      </c>
      <c r="I36" s="402">
        <v>17</v>
      </c>
      <c r="J36" s="402">
        <v>1</v>
      </c>
      <c r="K36" s="402" t="s">
        <v>665</v>
      </c>
      <c r="L36" s="402">
        <v>176</v>
      </c>
      <c r="M36" s="408">
        <f t="shared" si="1"/>
        <v>8591.9</v>
      </c>
      <c r="N36" s="408">
        <v>7846.9</v>
      </c>
      <c r="O36" s="408">
        <v>745</v>
      </c>
      <c r="P36" s="352">
        <f t="shared" si="0"/>
        <v>8597.2000000000007</v>
      </c>
      <c r="Q36" s="352">
        <v>7846.7</v>
      </c>
      <c r="R36" s="352">
        <v>750.5</v>
      </c>
      <c r="S36" s="352"/>
      <c r="T36" s="352"/>
      <c r="U36" s="352"/>
      <c r="V36" s="352"/>
      <c r="W36" s="352"/>
      <c r="X36" s="352"/>
      <c r="Y36" s="354" t="s">
        <v>772</v>
      </c>
      <c r="Z36" s="357">
        <v>4.3</v>
      </c>
      <c r="AA36" s="357">
        <v>1210.5</v>
      </c>
    </row>
    <row r="37" spans="1:27" ht="84.05" customHeight="1" x14ac:dyDescent="0.5">
      <c r="A37" s="402">
        <v>34</v>
      </c>
      <c r="B37" s="404" t="s">
        <v>864</v>
      </c>
      <c r="C37" s="403" t="s">
        <v>949</v>
      </c>
      <c r="D37" s="405" t="s">
        <v>690</v>
      </c>
      <c r="E37" s="406" t="s">
        <v>991</v>
      </c>
      <c r="F37" s="402" t="s">
        <v>1036</v>
      </c>
      <c r="G37" s="402">
        <v>2020</v>
      </c>
      <c r="H37" s="407">
        <v>44011</v>
      </c>
      <c r="I37" s="402">
        <v>19</v>
      </c>
      <c r="J37" s="402">
        <v>1</v>
      </c>
      <c r="K37" s="402" t="s">
        <v>706</v>
      </c>
      <c r="L37" s="402">
        <v>171</v>
      </c>
      <c r="M37" s="408">
        <f t="shared" si="1"/>
        <v>9283.7999999999993</v>
      </c>
      <c r="N37" s="408">
        <v>9283.7999999999993</v>
      </c>
      <c r="O37" s="408">
        <v>0</v>
      </c>
      <c r="P37" s="352">
        <f t="shared" si="0"/>
        <v>9284.6</v>
      </c>
      <c r="Q37" s="362">
        <v>9284.6</v>
      </c>
      <c r="R37" s="362">
        <v>0</v>
      </c>
      <c r="S37" s="372"/>
      <c r="T37" s="372"/>
      <c r="U37" s="372"/>
      <c r="V37" s="372"/>
      <c r="W37" s="372"/>
      <c r="X37" s="372"/>
      <c r="Y37" s="353" t="s">
        <v>772</v>
      </c>
      <c r="Z37" s="357">
        <v>4</v>
      </c>
      <c r="AA37" s="357">
        <v>1426.7</v>
      </c>
    </row>
    <row r="38" spans="1:27" ht="84.05" customHeight="1" x14ac:dyDescent="0.5">
      <c r="A38" s="402">
        <v>35</v>
      </c>
      <c r="B38" s="404" t="s">
        <v>647</v>
      </c>
      <c r="C38" s="403" t="s">
        <v>950</v>
      </c>
      <c r="D38" s="405" t="s">
        <v>685</v>
      </c>
      <c r="E38" s="406" t="s">
        <v>993</v>
      </c>
      <c r="F38" s="402" t="s">
        <v>1035</v>
      </c>
      <c r="G38" s="402">
        <v>2020</v>
      </c>
      <c r="H38" s="407">
        <v>44011</v>
      </c>
      <c r="I38" s="402">
        <v>18</v>
      </c>
      <c r="J38" s="402">
        <v>1</v>
      </c>
      <c r="K38" s="402" t="s">
        <v>680</v>
      </c>
      <c r="L38" s="402">
        <v>204</v>
      </c>
      <c r="M38" s="408">
        <f t="shared" si="1"/>
        <v>8679.2999999999993</v>
      </c>
      <c r="N38" s="408">
        <v>7980.9</v>
      </c>
      <c r="O38" s="408">
        <v>698.4</v>
      </c>
      <c r="P38" s="352">
        <v>8679.2999999999993</v>
      </c>
      <c r="Q38" s="362">
        <v>7980.9</v>
      </c>
      <c r="R38" s="362">
        <v>698.4</v>
      </c>
      <c r="S38" s="362"/>
      <c r="T38" s="362"/>
      <c r="U38" s="362"/>
      <c r="V38" s="362"/>
      <c r="W38" s="362"/>
      <c r="X38" s="362"/>
      <c r="Y38" s="353" t="s">
        <v>772</v>
      </c>
      <c r="Z38" s="357">
        <v>4.2</v>
      </c>
      <c r="AA38" s="357">
        <v>1563.9</v>
      </c>
    </row>
    <row r="39" spans="1:27" ht="84.05" customHeight="1" x14ac:dyDescent="0.5">
      <c r="A39" s="402">
        <v>36</v>
      </c>
      <c r="B39" s="404" t="s">
        <v>865</v>
      </c>
      <c r="C39" s="403" t="s">
        <v>951</v>
      </c>
      <c r="D39" s="405" t="s">
        <v>690</v>
      </c>
      <c r="E39" s="406" t="s">
        <v>991</v>
      </c>
      <c r="F39" s="402" t="s">
        <v>1036</v>
      </c>
      <c r="G39" s="402">
        <v>2020</v>
      </c>
      <c r="H39" s="407">
        <v>44071</v>
      </c>
      <c r="I39" s="402">
        <v>19</v>
      </c>
      <c r="J39" s="402">
        <v>1</v>
      </c>
      <c r="K39" s="402" t="s">
        <v>701</v>
      </c>
      <c r="L39" s="402">
        <v>190</v>
      </c>
      <c r="M39" s="408">
        <f t="shared" si="1"/>
        <v>9140.6</v>
      </c>
      <c r="N39" s="408">
        <v>9140.6</v>
      </c>
      <c r="O39" s="408">
        <v>0</v>
      </c>
      <c r="P39" s="352">
        <f t="shared" ref="P39:P45" si="2">Q39+R39</f>
        <v>9140.6</v>
      </c>
      <c r="Q39" s="362">
        <v>9140.6</v>
      </c>
      <c r="R39" s="362">
        <v>0</v>
      </c>
      <c r="S39" s="372"/>
      <c r="T39" s="372"/>
      <c r="U39" s="372"/>
      <c r="V39" s="372"/>
      <c r="W39" s="372"/>
      <c r="X39" s="372"/>
      <c r="Y39" s="353" t="s">
        <v>772</v>
      </c>
      <c r="Z39" s="357">
        <v>3.8</v>
      </c>
      <c r="AA39" s="357">
        <v>1196.7</v>
      </c>
    </row>
    <row r="40" spans="1:27" ht="84.05" customHeight="1" x14ac:dyDescent="0.5">
      <c r="A40" s="402">
        <v>37</v>
      </c>
      <c r="B40" s="404" t="s">
        <v>860</v>
      </c>
      <c r="C40" s="403" t="s">
        <v>952</v>
      </c>
      <c r="D40" s="405" t="s">
        <v>689</v>
      </c>
      <c r="E40" s="406" t="s">
        <v>988</v>
      </c>
      <c r="F40" s="402" t="s">
        <v>1036</v>
      </c>
      <c r="G40" s="402">
        <v>2021</v>
      </c>
      <c r="H40" s="407">
        <v>44194</v>
      </c>
      <c r="I40" s="402">
        <v>18</v>
      </c>
      <c r="J40" s="402">
        <v>2</v>
      </c>
      <c r="K40" s="402" t="s">
        <v>760</v>
      </c>
      <c r="L40" s="402">
        <v>286</v>
      </c>
      <c r="M40" s="408">
        <f t="shared" si="1"/>
        <v>11237.2</v>
      </c>
      <c r="N40" s="408">
        <v>11237.2</v>
      </c>
      <c r="O40" s="408">
        <v>0</v>
      </c>
      <c r="P40" s="352">
        <f t="shared" si="2"/>
        <v>11237.2</v>
      </c>
      <c r="Q40" s="362">
        <v>11237.2</v>
      </c>
      <c r="R40" s="362">
        <v>0</v>
      </c>
      <c r="S40" s="372"/>
      <c r="T40" s="372"/>
      <c r="U40" s="372"/>
      <c r="V40" s="372"/>
      <c r="W40" s="372"/>
      <c r="X40" s="372"/>
      <c r="Y40" s="353" t="s">
        <v>772</v>
      </c>
      <c r="Z40" s="357">
        <v>13.6</v>
      </c>
      <c r="AA40" s="357">
        <v>2651.3</v>
      </c>
    </row>
    <row r="41" spans="1:27" ht="84.05" customHeight="1" x14ac:dyDescent="0.5">
      <c r="A41" s="402">
        <v>38</v>
      </c>
      <c r="B41" s="404" t="s">
        <v>765</v>
      </c>
      <c r="C41" s="403" t="s">
        <v>953</v>
      </c>
      <c r="D41" s="405" t="s">
        <v>685</v>
      </c>
      <c r="E41" s="406" t="s">
        <v>993</v>
      </c>
      <c r="F41" s="402" t="s">
        <v>1035</v>
      </c>
      <c r="G41" s="402">
        <v>2021</v>
      </c>
      <c r="H41" s="407">
        <v>44194</v>
      </c>
      <c r="I41" s="402">
        <v>18</v>
      </c>
      <c r="J41" s="402">
        <v>1</v>
      </c>
      <c r="K41" s="402" t="s">
        <v>767</v>
      </c>
      <c r="L41" s="402">
        <v>187</v>
      </c>
      <c r="M41" s="408">
        <f t="shared" si="1"/>
        <v>8901</v>
      </c>
      <c r="N41" s="408">
        <v>8215.9</v>
      </c>
      <c r="O41" s="408">
        <v>685.1</v>
      </c>
      <c r="P41" s="352">
        <f t="shared" si="2"/>
        <v>8901</v>
      </c>
      <c r="Q41" s="362">
        <v>8215.9</v>
      </c>
      <c r="R41" s="362">
        <v>685.1</v>
      </c>
      <c r="S41" s="362"/>
      <c r="T41" s="362"/>
      <c r="U41" s="362"/>
      <c r="V41" s="362"/>
      <c r="W41" s="362"/>
      <c r="X41" s="362"/>
      <c r="Y41" s="353" t="s">
        <v>772</v>
      </c>
      <c r="Z41" s="357"/>
      <c r="AA41" s="357"/>
    </row>
    <row r="42" spans="1:27" ht="84.05" customHeight="1" x14ac:dyDescent="0.5">
      <c r="A42" s="402">
        <v>39</v>
      </c>
      <c r="B42" s="404" t="s">
        <v>866</v>
      </c>
      <c r="C42" s="403" t="s">
        <v>954</v>
      </c>
      <c r="D42" s="405" t="s">
        <v>690</v>
      </c>
      <c r="E42" s="406" t="s">
        <v>991</v>
      </c>
      <c r="F42" s="402" t="s">
        <v>1036</v>
      </c>
      <c r="G42" s="402">
        <v>2021</v>
      </c>
      <c r="H42" s="407">
        <v>44257</v>
      </c>
      <c r="I42" s="402">
        <v>19</v>
      </c>
      <c r="J42" s="402">
        <v>1</v>
      </c>
      <c r="K42" s="402" t="s">
        <v>771</v>
      </c>
      <c r="L42" s="402">
        <v>254</v>
      </c>
      <c r="M42" s="408">
        <f t="shared" si="1"/>
        <v>8766.7000000000007</v>
      </c>
      <c r="N42" s="408">
        <v>8766.7000000000007</v>
      </c>
      <c r="O42" s="408">
        <v>0</v>
      </c>
      <c r="P42" s="352">
        <f t="shared" si="2"/>
        <v>8766.7000000000007</v>
      </c>
      <c r="Q42" s="362">
        <v>8766.7000000000007</v>
      </c>
      <c r="R42" s="362">
        <v>0</v>
      </c>
      <c r="S42" s="372"/>
      <c r="T42" s="372"/>
      <c r="U42" s="372"/>
      <c r="V42" s="372"/>
      <c r="W42" s="372"/>
      <c r="X42" s="372"/>
      <c r="Y42" s="353" t="s">
        <v>772</v>
      </c>
      <c r="Z42" s="357"/>
      <c r="AA42" s="357"/>
    </row>
    <row r="43" spans="1:27" ht="84.05" customHeight="1" x14ac:dyDescent="0.5">
      <c r="A43" s="402">
        <v>40</v>
      </c>
      <c r="B43" s="404" t="s">
        <v>773</v>
      </c>
      <c r="C43" s="403" t="s">
        <v>955</v>
      </c>
      <c r="D43" s="405" t="s">
        <v>685</v>
      </c>
      <c r="E43" s="406" t="s">
        <v>993</v>
      </c>
      <c r="F43" s="402" t="s">
        <v>1035</v>
      </c>
      <c r="G43" s="402">
        <v>2021</v>
      </c>
      <c r="H43" s="407">
        <v>44358</v>
      </c>
      <c r="I43" s="402">
        <v>18</v>
      </c>
      <c r="J43" s="413">
        <v>1</v>
      </c>
      <c r="K43" s="413" t="s">
        <v>777</v>
      </c>
      <c r="L43" s="413">
        <v>102</v>
      </c>
      <c r="M43" s="408">
        <f t="shared" si="1"/>
        <v>5529.2999999999993</v>
      </c>
      <c r="N43" s="414">
        <v>5217.8999999999996</v>
      </c>
      <c r="O43" s="408">
        <v>311.39999999999998</v>
      </c>
      <c r="P43" s="352">
        <f t="shared" si="2"/>
        <v>5529.2999999999993</v>
      </c>
      <c r="Q43" s="364">
        <v>5217.8999999999996</v>
      </c>
      <c r="R43" s="364">
        <v>311.39999999999998</v>
      </c>
      <c r="S43" s="364"/>
      <c r="T43" s="364"/>
      <c r="U43" s="364"/>
      <c r="V43" s="364"/>
      <c r="W43" s="364"/>
      <c r="X43" s="364"/>
      <c r="Y43" s="353" t="s">
        <v>772</v>
      </c>
      <c r="Z43" s="365"/>
      <c r="AA43" s="365"/>
    </row>
    <row r="44" spans="1:27" ht="84.05" customHeight="1" x14ac:dyDescent="0.5">
      <c r="A44" s="402">
        <v>41</v>
      </c>
      <c r="B44" s="404" t="s">
        <v>819</v>
      </c>
      <c r="C44" s="403" t="s">
        <v>956</v>
      </c>
      <c r="D44" s="405" t="s">
        <v>689</v>
      </c>
      <c r="E44" s="406" t="s">
        <v>988</v>
      </c>
      <c r="F44" s="402" t="s">
        <v>1036</v>
      </c>
      <c r="G44" s="402">
        <v>2021</v>
      </c>
      <c r="H44" s="407">
        <v>44427</v>
      </c>
      <c r="I44" s="402">
        <v>18</v>
      </c>
      <c r="J44" s="413">
        <v>2</v>
      </c>
      <c r="K44" s="413" t="s">
        <v>821</v>
      </c>
      <c r="L44" s="413">
        <v>340</v>
      </c>
      <c r="M44" s="408">
        <f t="shared" si="1"/>
        <v>11278.8</v>
      </c>
      <c r="N44" s="414">
        <v>11278.8</v>
      </c>
      <c r="O44" s="408">
        <v>0</v>
      </c>
      <c r="P44" s="352">
        <f t="shared" si="2"/>
        <v>11278.8</v>
      </c>
      <c r="Q44" s="364">
        <v>11278.8</v>
      </c>
      <c r="R44" s="364">
        <v>0</v>
      </c>
      <c r="S44" s="373"/>
      <c r="T44" s="373"/>
      <c r="U44" s="373"/>
      <c r="V44" s="373"/>
      <c r="W44" s="373"/>
      <c r="X44" s="373"/>
      <c r="Y44" s="353" t="s">
        <v>772</v>
      </c>
      <c r="Z44" s="365"/>
      <c r="AA44" s="365"/>
    </row>
    <row r="45" spans="1:27" ht="84.05" customHeight="1" x14ac:dyDescent="0.5">
      <c r="A45" s="402">
        <v>42</v>
      </c>
      <c r="B45" s="404" t="s">
        <v>774</v>
      </c>
      <c r="C45" s="403" t="s">
        <v>957</v>
      </c>
      <c r="D45" s="405" t="s">
        <v>690</v>
      </c>
      <c r="E45" s="406" t="s">
        <v>991</v>
      </c>
      <c r="F45" s="402" t="s">
        <v>1036</v>
      </c>
      <c r="G45" s="402">
        <v>2021</v>
      </c>
      <c r="H45" s="407">
        <v>44435</v>
      </c>
      <c r="I45" s="402">
        <v>19</v>
      </c>
      <c r="J45" s="413">
        <v>1</v>
      </c>
      <c r="K45" s="413" t="s">
        <v>776</v>
      </c>
      <c r="L45" s="413">
        <v>266</v>
      </c>
      <c r="M45" s="408">
        <f t="shared" si="1"/>
        <v>8725.6</v>
      </c>
      <c r="N45" s="414">
        <v>8725.6</v>
      </c>
      <c r="O45" s="408">
        <v>0</v>
      </c>
      <c r="P45" s="352">
        <f t="shared" si="2"/>
        <v>8725.9</v>
      </c>
      <c r="Q45" s="364">
        <v>8725.9</v>
      </c>
      <c r="R45" s="364">
        <v>0</v>
      </c>
      <c r="S45" s="373"/>
      <c r="T45" s="373"/>
      <c r="U45" s="373"/>
      <c r="V45" s="373"/>
      <c r="W45" s="373"/>
      <c r="X45" s="373"/>
      <c r="Y45" s="353" t="s">
        <v>772</v>
      </c>
      <c r="Z45" s="365"/>
      <c r="AA45" s="365"/>
    </row>
    <row r="46" spans="1:27" ht="84.05" customHeight="1" x14ac:dyDescent="0.5">
      <c r="A46" s="402">
        <v>43</v>
      </c>
      <c r="B46" s="404" t="s">
        <v>822</v>
      </c>
      <c r="C46" s="403" t="s">
        <v>863</v>
      </c>
      <c r="D46" s="405" t="s">
        <v>685</v>
      </c>
      <c r="E46" s="406" t="s">
        <v>993</v>
      </c>
      <c r="F46" s="402" t="s">
        <v>1035</v>
      </c>
      <c r="G46" s="402">
        <v>2021</v>
      </c>
      <c r="H46" s="407">
        <v>44445</v>
      </c>
      <c r="I46" s="402">
        <v>18</v>
      </c>
      <c r="J46" s="413">
        <v>1</v>
      </c>
      <c r="K46" s="413">
        <v>238</v>
      </c>
      <c r="L46" s="413">
        <v>238</v>
      </c>
      <c r="M46" s="408">
        <f t="shared" si="1"/>
        <v>8354.2000000000007</v>
      </c>
      <c r="N46" s="414">
        <v>7788.5</v>
      </c>
      <c r="O46" s="408">
        <v>565.70000000000005</v>
      </c>
      <c r="P46" s="352">
        <v>8354.2000000000007</v>
      </c>
      <c r="Q46" s="364">
        <v>7788.5</v>
      </c>
      <c r="R46" s="364">
        <v>565.70000000000005</v>
      </c>
      <c r="S46" s="364"/>
      <c r="T46" s="364"/>
      <c r="U46" s="364"/>
      <c r="V46" s="364"/>
      <c r="W46" s="364"/>
      <c r="X46" s="364"/>
      <c r="Y46" s="353" t="s">
        <v>772</v>
      </c>
      <c r="Z46" s="365"/>
      <c r="AA46" s="365"/>
    </row>
    <row r="47" spans="1:27" ht="84.05" customHeight="1" x14ac:dyDescent="0.5">
      <c r="A47" s="402">
        <v>44</v>
      </c>
      <c r="B47" s="404" t="s">
        <v>883</v>
      </c>
      <c r="C47" s="403" t="s">
        <v>958</v>
      </c>
      <c r="D47" s="405" t="s">
        <v>689</v>
      </c>
      <c r="E47" s="406" t="s">
        <v>988</v>
      </c>
      <c r="F47" s="402" t="s">
        <v>1036</v>
      </c>
      <c r="G47" s="402">
        <v>2021</v>
      </c>
      <c r="H47" s="407">
        <v>44596</v>
      </c>
      <c r="I47" s="402">
        <v>18</v>
      </c>
      <c r="J47" s="413">
        <v>2</v>
      </c>
      <c r="K47" s="413" t="s">
        <v>884</v>
      </c>
      <c r="L47" s="413">
        <v>394</v>
      </c>
      <c r="M47" s="408">
        <f t="shared" si="1"/>
        <v>12417.2</v>
      </c>
      <c r="N47" s="414">
        <v>12417.2</v>
      </c>
      <c r="O47" s="408">
        <v>0</v>
      </c>
      <c r="P47" s="364">
        <v>12417.2</v>
      </c>
      <c r="Q47" s="364">
        <v>12417.2</v>
      </c>
      <c r="R47" s="364">
        <v>0</v>
      </c>
      <c r="S47" s="373"/>
      <c r="T47" s="373"/>
      <c r="U47" s="373"/>
      <c r="V47" s="373"/>
      <c r="W47" s="373"/>
      <c r="X47" s="373"/>
      <c r="Y47" s="353" t="s">
        <v>772</v>
      </c>
      <c r="Z47" s="365"/>
      <c r="AA47" s="365"/>
    </row>
    <row r="48" spans="1:27" ht="84.05" customHeight="1" x14ac:dyDescent="0.5">
      <c r="A48" s="402">
        <v>45</v>
      </c>
      <c r="B48" s="404" t="s">
        <v>905</v>
      </c>
      <c r="C48" s="403" t="s">
        <v>959</v>
      </c>
      <c r="D48" s="405" t="s">
        <v>689</v>
      </c>
      <c r="E48" s="406" t="s">
        <v>988</v>
      </c>
      <c r="F48" s="402" t="s">
        <v>1037</v>
      </c>
      <c r="G48" s="402">
        <v>2022</v>
      </c>
      <c r="H48" s="407">
        <v>44637</v>
      </c>
      <c r="I48" s="402">
        <v>19</v>
      </c>
      <c r="J48" s="413">
        <v>1</v>
      </c>
      <c r="K48" s="413" t="s">
        <v>885</v>
      </c>
      <c r="L48" s="413">
        <v>170</v>
      </c>
      <c r="M48" s="408">
        <f t="shared" si="1"/>
        <v>8705.1</v>
      </c>
      <c r="N48" s="414">
        <v>8705.1</v>
      </c>
      <c r="O48" s="408">
        <v>0</v>
      </c>
      <c r="P48" s="364">
        <v>8705.1</v>
      </c>
      <c r="Q48" s="364">
        <f>P48</f>
        <v>8705.1</v>
      </c>
      <c r="R48" s="364">
        <v>0</v>
      </c>
      <c r="S48" s="373"/>
      <c r="T48" s="373"/>
      <c r="U48" s="373"/>
      <c r="V48" s="373"/>
      <c r="W48" s="373"/>
      <c r="X48" s="373"/>
      <c r="Y48" s="353" t="s">
        <v>772</v>
      </c>
      <c r="Z48" s="365"/>
      <c r="AA48" s="365"/>
    </row>
    <row r="49" spans="1:27" ht="84.05" customHeight="1" x14ac:dyDescent="0.5">
      <c r="A49" s="402">
        <v>46</v>
      </c>
      <c r="B49" s="404" t="s">
        <v>650</v>
      </c>
      <c r="C49" s="403" t="s">
        <v>892</v>
      </c>
      <c r="D49" s="405" t="s">
        <v>685</v>
      </c>
      <c r="E49" s="406" t="s">
        <v>993</v>
      </c>
      <c r="F49" s="402" t="s">
        <v>1035</v>
      </c>
      <c r="G49" s="402">
        <v>2022</v>
      </c>
      <c r="H49" s="407">
        <v>44662</v>
      </c>
      <c r="I49" s="402">
        <v>19</v>
      </c>
      <c r="J49" s="413">
        <v>1</v>
      </c>
      <c r="K49" s="413" t="s">
        <v>890</v>
      </c>
      <c r="L49" s="413">
        <v>188</v>
      </c>
      <c r="M49" s="408">
        <f t="shared" si="1"/>
        <v>6794.9</v>
      </c>
      <c r="N49" s="414">
        <v>6794.9</v>
      </c>
      <c r="O49" s="408">
        <v>0</v>
      </c>
      <c r="P49" s="364"/>
      <c r="Q49" s="364">
        <v>6794.9</v>
      </c>
      <c r="R49" s="364"/>
      <c r="S49" s="364"/>
      <c r="T49" s="364"/>
      <c r="U49" s="364"/>
      <c r="V49" s="364"/>
      <c r="W49" s="364"/>
      <c r="X49" s="364"/>
      <c r="Y49" s="353" t="s">
        <v>772</v>
      </c>
      <c r="Z49" s="365"/>
      <c r="AA49" s="365"/>
    </row>
    <row r="50" spans="1:27" ht="84.05" customHeight="1" x14ac:dyDescent="0.5">
      <c r="A50" s="402">
        <v>47</v>
      </c>
      <c r="B50" s="404" t="s">
        <v>649</v>
      </c>
      <c r="C50" s="403" t="s">
        <v>893</v>
      </c>
      <c r="D50" s="405" t="s">
        <v>685</v>
      </c>
      <c r="E50" s="406" t="s">
        <v>993</v>
      </c>
      <c r="F50" s="402" t="s">
        <v>1035</v>
      </c>
      <c r="G50" s="402">
        <v>2022</v>
      </c>
      <c r="H50" s="407">
        <v>44662</v>
      </c>
      <c r="I50" s="402">
        <v>19</v>
      </c>
      <c r="J50" s="413">
        <v>1</v>
      </c>
      <c r="K50" s="413" t="s">
        <v>891</v>
      </c>
      <c r="L50" s="413">
        <v>189</v>
      </c>
      <c r="M50" s="408">
        <f t="shared" si="1"/>
        <v>6876.2</v>
      </c>
      <c r="N50" s="414">
        <v>6876.2</v>
      </c>
      <c r="O50" s="408">
        <v>0</v>
      </c>
      <c r="P50" s="364"/>
      <c r="Q50" s="364">
        <v>6894.2</v>
      </c>
      <c r="R50" s="364"/>
      <c r="S50" s="364"/>
      <c r="T50" s="364"/>
      <c r="U50" s="364"/>
      <c r="V50" s="364"/>
      <c r="W50" s="364"/>
      <c r="X50" s="364"/>
      <c r="Y50" s="353" t="s">
        <v>772</v>
      </c>
      <c r="Z50" s="365"/>
      <c r="AA50" s="365"/>
    </row>
    <row r="51" spans="1:27" ht="84.05" customHeight="1" x14ac:dyDescent="0.5">
      <c r="A51" s="402">
        <v>48</v>
      </c>
      <c r="B51" s="404" t="s">
        <v>968</v>
      </c>
      <c r="C51" s="403" t="s">
        <v>960</v>
      </c>
      <c r="D51" s="405" t="s">
        <v>689</v>
      </c>
      <c r="E51" s="406" t="s">
        <v>988</v>
      </c>
      <c r="F51" s="402" t="s">
        <v>1036</v>
      </c>
      <c r="G51" s="402">
        <v>2022</v>
      </c>
      <c r="H51" s="407">
        <v>44708</v>
      </c>
      <c r="I51" s="402">
        <v>19</v>
      </c>
      <c r="J51" s="413">
        <v>4</v>
      </c>
      <c r="K51" s="413"/>
      <c r="L51" s="413">
        <v>943</v>
      </c>
      <c r="M51" s="408">
        <f t="shared" si="1"/>
        <v>31949.9</v>
      </c>
      <c r="N51" s="414">
        <v>30705.200000000001</v>
      </c>
      <c r="O51" s="408">
        <v>1244.7</v>
      </c>
      <c r="P51" s="364">
        <v>15886</v>
      </c>
      <c r="Q51" s="364">
        <v>15886</v>
      </c>
      <c r="R51" s="364">
        <v>0</v>
      </c>
      <c r="S51" s="373"/>
      <c r="T51" s="373"/>
      <c r="U51" s="373"/>
      <c r="V51" s="373"/>
      <c r="W51" s="373"/>
      <c r="X51" s="373"/>
      <c r="Y51" s="353" t="s">
        <v>772</v>
      </c>
      <c r="Z51" s="365"/>
      <c r="AA51" s="365"/>
    </row>
    <row r="52" spans="1:27" ht="84.05" customHeight="1" x14ac:dyDescent="0.5">
      <c r="A52" s="402">
        <v>49</v>
      </c>
      <c r="B52" s="404" t="s">
        <v>906</v>
      </c>
      <c r="C52" s="403" t="s">
        <v>961</v>
      </c>
      <c r="D52" s="405" t="s">
        <v>689</v>
      </c>
      <c r="E52" s="406" t="s">
        <v>988</v>
      </c>
      <c r="F52" s="402" t="s">
        <v>1037</v>
      </c>
      <c r="G52" s="402">
        <v>2022</v>
      </c>
      <c r="H52" s="407">
        <v>44712</v>
      </c>
      <c r="I52" s="402">
        <v>19</v>
      </c>
      <c r="J52" s="413">
        <v>1</v>
      </c>
      <c r="K52" s="413"/>
      <c r="L52" s="413">
        <v>208</v>
      </c>
      <c r="M52" s="408">
        <f t="shared" si="1"/>
        <v>8334.5</v>
      </c>
      <c r="N52" s="414">
        <v>8334.5</v>
      </c>
      <c r="O52" s="408">
        <v>0</v>
      </c>
      <c r="P52" s="364">
        <v>8334.5</v>
      </c>
      <c r="Q52" s="364">
        <v>8334.5</v>
      </c>
      <c r="R52" s="364">
        <v>0</v>
      </c>
      <c r="S52" s="373"/>
      <c r="T52" s="373"/>
      <c r="U52" s="373"/>
      <c r="V52" s="373"/>
      <c r="W52" s="373"/>
      <c r="X52" s="373"/>
      <c r="Y52" s="353" t="s">
        <v>772</v>
      </c>
      <c r="Z52" s="365"/>
      <c r="AA52" s="365"/>
    </row>
    <row r="53" spans="1:27" ht="84.05" customHeight="1" x14ac:dyDescent="0.5">
      <c r="A53" s="402">
        <v>50</v>
      </c>
      <c r="B53" s="404" t="s">
        <v>910</v>
      </c>
      <c r="C53" s="403" t="s">
        <v>962</v>
      </c>
      <c r="D53" s="405" t="s">
        <v>685</v>
      </c>
      <c r="E53" s="406" t="s">
        <v>993</v>
      </c>
      <c r="F53" s="402" t="s">
        <v>1035</v>
      </c>
      <c r="G53" s="402">
        <v>2022</v>
      </c>
      <c r="H53" s="407">
        <v>44785</v>
      </c>
      <c r="I53" s="402">
        <v>19</v>
      </c>
      <c r="J53" s="413">
        <v>1</v>
      </c>
      <c r="K53" s="413">
        <v>265</v>
      </c>
      <c r="L53" s="413">
        <v>265</v>
      </c>
      <c r="M53" s="408">
        <f t="shared" si="1"/>
        <v>9065</v>
      </c>
      <c r="N53" s="414">
        <v>9065</v>
      </c>
      <c r="O53" s="408">
        <v>0</v>
      </c>
      <c r="P53" s="364"/>
      <c r="Q53" s="364">
        <v>9065</v>
      </c>
      <c r="R53" s="364"/>
      <c r="S53" s="364"/>
      <c r="T53" s="364"/>
      <c r="U53" s="364"/>
      <c r="V53" s="364"/>
      <c r="W53" s="364"/>
      <c r="X53" s="364"/>
      <c r="Y53" s="353" t="s">
        <v>772</v>
      </c>
      <c r="Z53" s="365"/>
      <c r="AA53" s="365"/>
    </row>
    <row r="54" spans="1:27" ht="84.05" customHeight="1" x14ac:dyDescent="0.5">
      <c r="A54" s="402">
        <v>51</v>
      </c>
      <c r="B54" s="404" t="s">
        <v>914</v>
      </c>
      <c r="C54" s="403" t="s">
        <v>963</v>
      </c>
      <c r="D54" s="405" t="s">
        <v>685</v>
      </c>
      <c r="E54" s="406" t="s">
        <v>993</v>
      </c>
      <c r="F54" s="402" t="s">
        <v>1034</v>
      </c>
      <c r="G54" s="402">
        <v>2022</v>
      </c>
      <c r="H54" s="407">
        <v>44789</v>
      </c>
      <c r="I54" s="402">
        <v>10</v>
      </c>
      <c r="J54" s="413">
        <v>4</v>
      </c>
      <c r="K54" s="413" t="s">
        <v>915</v>
      </c>
      <c r="L54" s="413">
        <v>399</v>
      </c>
      <c r="M54" s="408">
        <f t="shared" si="1"/>
        <v>15048.1</v>
      </c>
      <c r="N54" s="414">
        <v>15048.1</v>
      </c>
      <c r="O54" s="408">
        <v>0</v>
      </c>
      <c r="P54" s="364"/>
      <c r="Q54" s="364">
        <v>15048.1</v>
      </c>
      <c r="R54" s="364"/>
      <c r="S54" s="364"/>
      <c r="T54" s="364"/>
      <c r="U54" s="364"/>
      <c r="V54" s="364"/>
      <c r="W54" s="364"/>
      <c r="X54" s="364"/>
      <c r="Y54" s="353" t="s">
        <v>772</v>
      </c>
      <c r="Z54" s="365"/>
      <c r="AA54" s="365"/>
    </row>
    <row r="55" spans="1:27" ht="84.05" customHeight="1" x14ac:dyDescent="0.5">
      <c r="A55" s="402">
        <v>52</v>
      </c>
      <c r="B55" s="404" t="s">
        <v>994</v>
      </c>
      <c r="C55" s="403" t="s">
        <v>969</v>
      </c>
      <c r="D55" s="405" t="s">
        <v>689</v>
      </c>
      <c r="E55" s="406" t="s">
        <v>988</v>
      </c>
      <c r="F55" s="402" t="s">
        <v>1037</v>
      </c>
      <c r="G55" s="402">
        <v>2023</v>
      </c>
      <c r="H55" s="407">
        <v>44958</v>
      </c>
      <c r="I55" s="402">
        <v>25</v>
      </c>
      <c r="J55" s="413">
        <v>1</v>
      </c>
      <c r="K55" s="413" t="s">
        <v>973</v>
      </c>
      <c r="L55" s="413">
        <v>274</v>
      </c>
      <c r="M55" s="408">
        <f t="shared" si="1"/>
        <v>11553.8</v>
      </c>
      <c r="N55" s="414">
        <v>11553.8</v>
      </c>
      <c r="O55" s="414">
        <v>0</v>
      </c>
      <c r="P55" s="364"/>
      <c r="Q55" s="364"/>
      <c r="R55" s="364"/>
      <c r="S55" s="364"/>
      <c r="T55" s="364"/>
      <c r="U55" s="364"/>
      <c r="V55" s="364"/>
      <c r="W55" s="364"/>
      <c r="X55" s="364"/>
      <c r="Y55" s="377" t="s">
        <v>772</v>
      </c>
      <c r="Z55" s="365"/>
      <c r="AA55" s="365"/>
    </row>
    <row r="56" spans="1:27" ht="84.05" customHeight="1" x14ac:dyDescent="0.5">
      <c r="A56" s="402">
        <v>53</v>
      </c>
      <c r="B56" s="404" t="s">
        <v>648</v>
      </c>
      <c r="C56" s="403" t="s">
        <v>970</v>
      </c>
      <c r="D56" s="405" t="s">
        <v>685</v>
      </c>
      <c r="E56" s="406" t="s">
        <v>993</v>
      </c>
      <c r="F56" s="402" t="s">
        <v>1035</v>
      </c>
      <c r="G56" s="402">
        <v>2023</v>
      </c>
      <c r="H56" s="407">
        <v>44999</v>
      </c>
      <c r="I56" s="402"/>
      <c r="J56" s="413">
        <v>1</v>
      </c>
      <c r="K56" s="413"/>
      <c r="L56" s="413">
        <v>187</v>
      </c>
      <c r="M56" s="408">
        <f t="shared" si="1"/>
        <v>8572</v>
      </c>
      <c r="N56" s="414">
        <v>7942.4</v>
      </c>
      <c r="O56" s="414">
        <v>629.6</v>
      </c>
      <c r="P56" s="364"/>
      <c r="Q56" s="364"/>
      <c r="R56" s="364"/>
      <c r="S56" s="364"/>
      <c r="T56" s="364"/>
      <c r="U56" s="364"/>
      <c r="V56" s="364"/>
      <c r="W56" s="364"/>
      <c r="X56" s="364"/>
      <c r="Y56" s="377" t="s">
        <v>772</v>
      </c>
      <c r="Z56" s="365"/>
      <c r="AA56" s="365"/>
    </row>
    <row r="57" spans="1:27" ht="84.05" customHeight="1" x14ac:dyDescent="0.5">
      <c r="A57" s="402">
        <v>54</v>
      </c>
      <c r="B57" s="404" t="s">
        <v>966</v>
      </c>
      <c r="C57" s="403" t="s">
        <v>971</v>
      </c>
      <c r="D57" s="405" t="s">
        <v>689</v>
      </c>
      <c r="E57" s="406" t="s">
        <v>988</v>
      </c>
      <c r="F57" s="402" t="s">
        <v>1037</v>
      </c>
      <c r="G57" s="402">
        <v>2023</v>
      </c>
      <c r="H57" s="407">
        <v>45033</v>
      </c>
      <c r="I57" s="402"/>
      <c r="J57" s="413">
        <v>1</v>
      </c>
      <c r="K57" s="413"/>
      <c r="L57" s="413">
        <v>252</v>
      </c>
      <c r="M57" s="408">
        <f t="shared" si="1"/>
        <v>7908.5999999999995</v>
      </c>
      <c r="N57" s="414">
        <v>7362.4</v>
      </c>
      <c r="O57" s="414">
        <v>546.20000000000005</v>
      </c>
      <c r="P57" s="364"/>
      <c r="Q57" s="364"/>
      <c r="R57" s="364"/>
      <c r="S57" s="364"/>
      <c r="T57" s="364"/>
      <c r="U57" s="364"/>
      <c r="V57" s="364"/>
      <c r="W57" s="364"/>
      <c r="X57" s="364"/>
      <c r="Y57" s="377" t="s">
        <v>772</v>
      </c>
      <c r="Z57" s="365"/>
      <c r="AA57" s="365"/>
    </row>
    <row r="58" spans="1:27" ht="84.05" customHeight="1" x14ac:dyDescent="0.5">
      <c r="A58" s="402">
        <v>55</v>
      </c>
      <c r="B58" s="404" t="s">
        <v>967</v>
      </c>
      <c r="C58" s="403" t="s">
        <v>972</v>
      </c>
      <c r="D58" s="405" t="s">
        <v>689</v>
      </c>
      <c r="E58" s="406" t="s">
        <v>988</v>
      </c>
      <c r="F58" s="402" t="s">
        <v>1037</v>
      </c>
      <c r="G58" s="402">
        <v>2023</v>
      </c>
      <c r="H58" s="407">
        <v>45100</v>
      </c>
      <c r="I58" s="402"/>
      <c r="J58" s="413">
        <v>1</v>
      </c>
      <c r="K58" s="413"/>
      <c r="L58" s="413">
        <v>170</v>
      </c>
      <c r="M58" s="408">
        <f t="shared" si="1"/>
        <v>8855.7999999999993</v>
      </c>
      <c r="N58" s="414">
        <v>8855.7999999999993</v>
      </c>
      <c r="O58" s="414">
        <v>0</v>
      </c>
      <c r="P58" s="364"/>
      <c r="Q58" s="364"/>
      <c r="R58" s="364"/>
      <c r="S58" s="364"/>
      <c r="T58" s="364"/>
      <c r="U58" s="364"/>
      <c r="V58" s="364"/>
      <c r="W58" s="364"/>
      <c r="X58" s="364"/>
      <c r="Y58" s="377" t="s">
        <v>772</v>
      </c>
      <c r="Z58" s="365"/>
      <c r="AA58" s="365"/>
    </row>
    <row r="59" spans="1:27" ht="84.05" customHeight="1" x14ac:dyDescent="0.5">
      <c r="A59" s="402">
        <v>56</v>
      </c>
      <c r="B59" s="404" t="s">
        <v>978</v>
      </c>
      <c r="C59" s="403" t="s">
        <v>981</v>
      </c>
      <c r="D59" s="405" t="s">
        <v>687</v>
      </c>
      <c r="E59" s="406" t="s">
        <v>699</v>
      </c>
      <c r="F59" s="402" t="s">
        <v>1038</v>
      </c>
      <c r="G59" s="402">
        <v>2024</v>
      </c>
      <c r="H59" s="407">
        <v>45632</v>
      </c>
      <c r="I59" s="402">
        <v>3</v>
      </c>
      <c r="J59" s="413">
        <v>2</v>
      </c>
      <c r="K59" s="413" t="s">
        <v>982</v>
      </c>
      <c r="L59" s="413">
        <v>52</v>
      </c>
      <c r="M59" s="408">
        <f t="shared" si="1"/>
        <v>2237.6999999999998</v>
      </c>
      <c r="N59" s="414">
        <v>2237.6999999999998</v>
      </c>
      <c r="O59" s="414">
        <v>0</v>
      </c>
      <c r="P59" s="364"/>
      <c r="Q59" s="364"/>
      <c r="R59" s="364"/>
      <c r="S59" s="364"/>
      <c r="T59" s="364"/>
      <c r="U59" s="364"/>
      <c r="V59" s="364"/>
      <c r="W59" s="364"/>
      <c r="X59" s="364"/>
      <c r="Y59" s="377" t="s">
        <v>58</v>
      </c>
      <c r="Z59" s="365"/>
      <c r="AA59" s="365"/>
    </row>
    <row r="60" spans="1:27" ht="84.05" customHeight="1" x14ac:dyDescent="0.5">
      <c r="A60" s="402">
        <v>57</v>
      </c>
      <c r="B60" s="404" t="s">
        <v>979</v>
      </c>
      <c r="C60" s="403" t="s">
        <v>980</v>
      </c>
      <c r="D60" s="405" t="s">
        <v>689</v>
      </c>
      <c r="E60" s="406" t="s">
        <v>988</v>
      </c>
      <c r="F60" s="402" t="s">
        <v>1037</v>
      </c>
      <c r="G60" s="402">
        <v>2024</v>
      </c>
      <c r="H60" s="407">
        <v>45632</v>
      </c>
      <c r="I60" s="402">
        <v>25</v>
      </c>
      <c r="J60" s="413">
        <v>1</v>
      </c>
      <c r="K60" s="413" t="s">
        <v>983</v>
      </c>
      <c r="L60" s="413">
        <v>299</v>
      </c>
      <c r="M60" s="408">
        <f t="shared" si="1"/>
        <v>11379.1</v>
      </c>
      <c r="N60" s="414">
        <v>11379.1</v>
      </c>
      <c r="O60" s="414">
        <v>0</v>
      </c>
      <c r="P60" s="364"/>
      <c r="Q60" s="364"/>
      <c r="R60" s="364"/>
      <c r="S60" s="364"/>
      <c r="T60" s="364"/>
      <c r="U60" s="364"/>
      <c r="V60" s="364"/>
      <c r="W60" s="364"/>
      <c r="X60" s="364"/>
      <c r="Y60" s="353" t="s">
        <v>772</v>
      </c>
      <c r="Z60" s="365"/>
      <c r="AA60" s="365"/>
    </row>
    <row r="61" spans="1:27" ht="84.05" customHeight="1" x14ac:dyDescent="0.5">
      <c r="A61" s="402">
        <v>58</v>
      </c>
      <c r="B61" s="404" t="s">
        <v>985</v>
      </c>
      <c r="C61" s="403" t="s">
        <v>986</v>
      </c>
      <c r="D61" s="405" t="s">
        <v>687</v>
      </c>
      <c r="E61" s="406" t="s">
        <v>699</v>
      </c>
      <c r="F61" s="402" t="s">
        <v>1038</v>
      </c>
      <c r="G61" s="402">
        <v>2024</v>
      </c>
      <c r="H61" s="407">
        <v>45646</v>
      </c>
      <c r="I61" s="402">
        <v>3</v>
      </c>
      <c r="J61" s="413">
        <v>3</v>
      </c>
      <c r="K61" s="413" t="s">
        <v>984</v>
      </c>
      <c r="L61" s="413">
        <v>76</v>
      </c>
      <c r="M61" s="408">
        <f t="shared" si="1"/>
        <v>3242.1</v>
      </c>
      <c r="N61" s="414">
        <v>3242.1</v>
      </c>
      <c r="O61" s="414">
        <v>0</v>
      </c>
      <c r="P61" s="364"/>
      <c r="Q61" s="364"/>
      <c r="R61" s="364"/>
      <c r="S61" s="364"/>
      <c r="T61" s="364"/>
      <c r="U61" s="364"/>
      <c r="V61" s="364"/>
      <c r="W61" s="364"/>
      <c r="X61" s="364"/>
      <c r="Y61" s="377" t="s">
        <v>58</v>
      </c>
      <c r="Z61" s="365"/>
      <c r="AA61" s="365"/>
    </row>
    <row r="62" spans="1:27" ht="84.05" customHeight="1" x14ac:dyDescent="0.5">
      <c r="A62" s="402">
        <v>59</v>
      </c>
      <c r="B62" s="404" t="s">
        <v>996</v>
      </c>
      <c r="C62" s="403" t="s">
        <v>997</v>
      </c>
      <c r="D62" s="405" t="s">
        <v>687</v>
      </c>
      <c r="E62" s="406" t="s">
        <v>699</v>
      </c>
      <c r="F62" s="402" t="s">
        <v>1038</v>
      </c>
      <c r="G62" s="402">
        <v>2024</v>
      </c>
      <c r="H62" s="407">
        <v>45350</v>
      </c>
      <c r="I62" s="402">
        <v>3</v>
      </c>
      <c r="J62" s="413">
        <v>3</v>
      </c>
      <c r="K62" s="413" t="s">
        <v>984</v>
      </c>
      <c r="L62" s="413">
        <v>76</v>
      </c>
      <c r="M62" s="408">
        <f t="shared" si="1"/>
        <v>3257.7</v>
      </c>
      <c r="N62" s="414">
        <v>3257.7</v>
      </c>
      <c r="O62" s="414">
        <v>0</v>
      </c>
      <c r="P62" s="364"/>
      <c r="Q62" s="364"/>
      <c r="R62" s="364"/>
      <c r="S62" s="364"/>
      <c r="T62" s="364"/>
      <c r="U62" s="364"/>
      <c r="V62" s="364"/>
      <c r="W62" s="364"/>
      <c r="X62" s="364"/>
      <c r="Y62" s="377" t="s">
        <v>58</v>
      </c>
      <c r="Z62" s="365"/>
      <c r="AA62" s="365"/>
    </row>
    <row r="63" spans="1:27" ht="84.05" customHeight="1" x14ac:dyDescent="0.5">
      <c r="A63" s="402">
        <v>60</v>
      </c>
      <c r="B63" s="404" t="s">
        <v>998</v>
      </c>
      <c r="C63" s="403" t="s">
        <v>1000</v>
      </c>
      <c r="D63" s="405" t="s">
        <v>689</v>
      </c>
      <c r="E63" s="406" t="s">
        <v>988</v>
      </c>
      <c r="F63" s="402" t="s">
        <v>974</v>
      </c>
      <c r="G63" s="402">
        <v>2025</v>
      </c>
      <c r="H63" s="407">
        <v>45842</v>
      </c>
      <c r="I63" s="402">
        <v>19</v>
      </c>
      <c r="J63" s="413">
        <v>3</v>
      </c>
      <c r="K63" s="413" t="s">
        <v>999</v>
      </c>
      <c r="L63" s="413">
        <v>718</v>
      </c>
      <c r="M63" s="408">
        <f t="shared" si="1"/>
        <v>26300.5</v>
      </c>
      <c r="N63" s="414">
        <v>26300.5</v>
      </c>
      <c r="O63" s="414">
        <v>0</v>
      </c>
      <c r="P63" s="364"/>
      <c r="Q63" s="364"/>
      <c r="R63" s="364"/>
      <c r="S63" s="364"/>
      <c r="T63" s="364"/>
      <c r="U63" s="364"/>
      <c r="V63" s="364"/>
      <c r="W63" s="364"/>
      <c r="X63" s="364"/>
      <c r="Y63" s="353" t="s">
        <v>772</v>
      </c>
      <c r="Z63" s="365"/>
      <c r="AA63" s="365"/>
    </row>
    <row r="64" spans="1:27" ht="84.05" customHeight="1" x14ac:dyDescent="0.5">
      <c r="A64" s="402">
        <v>61</v>
      </c>
      <c r="B64" s="404" t="s">
        <v>1001</v>
      </c>
      <c r="C64" s="403" t="s">
        <v>1002</v>
      </c>
      <c r="D64" s="405" t="s">
        <v>689</v>
      </c>
      <c r="E64" s="406" t="s">
        <v>988</v>
      </c>
      <c r="F64" s="402" t="s">
        <v>974</v>
      </c>
      <c r="G64" s="402">
        <v>2025</v>
      </c>
      <c r="H64" s="407">
        <v>45918</v>
      </c>
      <c r="I64" s="402">
        <v>25</v>
      </c>
      <c r="J64" s="413">
        <v>1</v>
      </c>
      <c r="K64" s="413">
        <v>264</v>
      </c>
      <c r="L64" s="413">
        <v>264</v>
      </c>
      <c r="M64" s="408">
        <f t="shared" si="1"/>
        <v>12175.1</v>
      </c>
      <c r="N64" s="414">
        <v>11430.6</v>
      </c>
      <c r="O64" s="414">
        <v>744.5</v>
      </c>
      <c r="P64" s="364"/>
      <c r="Q64" s="364"/>
      <c r="R64" s="364"/>
      <c r="S64" s="364"/>
      <c r="T64" s="364"/>
      <c r="U64" s="364"/>
      <c r="V64" s="364"/>
      <c r="W64" s="364"/>
      <c r="X64" s="364"/>
      <c r="Y64" s="377"/>
      <c r="Z64" s="365"/>
      <c r="AA64" s="365"/>
    </row>
    <row r="65" spans="1:96" ht="84.05" customHeight="1" x14ac:dyDescent="0.5">
      <c r="A65" s="402">
        <v>62</v>
      </c>
      <c r="B65" s="404" t="s">
        <v>1003</v>
      </c>
      <c r="C65" s="403" t="s">
        <v>1006</v>
      </c>
      <c r="D65" s="405" t="s">
        <v>687</v>
      </c>
      <c r="E65" s="406" t="s">
        <v>699</v>
      </c>
      <c r="F65" s="402" t="s">
        <v>1038</v>
      </c>
      <c r="G65" s="402">
        <v>2025</v>
      </c>
      <c r="H65" s="407">
        <v>45926</v>
      </c>
      <c r="I65" s="402">
        <v>3</v>
      </c>
      <c r="J65" s="413">
        <v>3</v>
      </c>
      <c r="K65" s="413">
        <v>76</v>
      </c>
      <c r="L65" s="413">
        <v>76</v>
      </c>
      <c r="M65" s="408">
        <f t="shared" si="1"/>
        <v>3240.3</v>
      </c>
      <c r="N65" s="414">
        <v>3240.3</v>
      </c>
      <c r="O65" s="414">
        <v>0</v>
      </c>
      <c r="P65" s="364"/>
      <c r="Q65" s="364"/>
      <c r="R65" s="364"/>
      <c r="S65" s="364"/>
      <c r="T65" s="364"/>
      <c r="U65" s="364"/>
      <c r="V65" s="364"/>
      <c r="W65" s="364"/>
      <c r="X65" s="364"/>
      <c r="Y65" s="377"/>
      <c r="Z65" s="365"/>
      <c r="AA65" s="365"/>
    </row>
    <row r="66" spans="1:96" ht="84.05" customHeight="1" x14ac:dyDescent="0.5">
      <c r="A66" s="402">
        <v>63</v>
      </c>
      <c r="B66" s="404" t="s">
        <v>1004</v>
      </c>
      <c r="C66" s="403" t="s">
        <v>1005</v>
      </c>
      <c r="D66" s="405" t="s">
        <v>687</v>
      </c>
      <c r="E66" s="406" t="s">
        <v>699</v>
      </c>
      <c r="F66" s="402" t="s">
        <v>1038</v>
      </c>
      <c r="G66" s="402">
        <v>2025</v>
      </c>
      <c r="H66" s="407">
        <v>45926</v>
      </c>
      <c r="I66" s="402">
        <v>3</v>
      </c>
      <c r="J66" s="413">
        <v>3</v>
      </c>
      <c r="K66" s="413">
        <v>76</v>
      </c>
      <c r="L66" s="413">
        <v>76</v>
      </c>
      <c r="M66" s="408">
        <f t="shared" si="1"/>
        <v>3262.6</v>
      </c>
      <c r="N66" s="414">
        <v>3262.6</v>
      </c>
      <c r="O66" s="414">
        <v>0</v>
      </c>
      <c r="P66" s="364"/>
      <c r="Q66" s="364"/>
      <c r="R66" s="364"/>
      <c r="S66" s="364"/>
      <c r="T66" s="364"/>
      <c r="U66" s="364"/>
      <c r="V66" s="364"/>
      <c r="W66" s="364"/>
      <c r="X66" s="364"/>
      <c r="Y66" s="377"/>
      <c r="Z66" s="365"/>
      <c r="AA66" s="365"/>
    </row>
    <row r="67" spans="1:96" ht="84.05" customHeight="1" x14ac:dyDescent="0.5">
      <c r="A67" s="402">
        <v>64</v>
      </c>
      <c r="B67" s="404" t="s">
        <v>1009</v>
      </c>
      <c r="C67" s="403" t="s">
        <v>1008</v>
      </c>
      <c r="D67" s="405" t="s">
        <v>687</v>
      </c>
      <c r="E67" s="406" t="s">
        <v>1007</v>
      </c>
      <c r="F67" s="402" t="s">
        <v>1038</v>
      </c>
      <c r="G67" s="402">
        <v>2025</v>
      </c>
      <c r="H67" s="407">
        <v>45944</v>
      </c>
      <c r="I67" s="402">
        <v>3</v>
      </c>
      <c r="J67" s="413">
        <v>3</v>
      </c>
      <c r="K67" s="413">
        <v>76</v>
      </c>
      <c r="L67" s="413">
        <v>76</v>
      </c>
      <c r="M67" s="408">
        <f>N67+O67</f>
        <v>3237.6</v>
      </c>
      <c r="N67" s="414">
        <v>3237.6</v>
      </c>
      <c r="O67" s="414">
        <v>0</v>
      </c>
      <c r="P67" s="364"/>
      <c r="Q67" s="364"/>
      <c r="R67" s="364"/>
      <c r="S67" s="364"/>
      <c r="T67" s="364"/>
      <c r="U67" s="364"/>
      <c r="V67" s="364"/>
      <c r="W67" s="364"/>
      <c r="X67" s="364"/>
      <c r="Y67" s="377"/>
      <c r="Z67" s="365"/>
      <c r="AA67" s="365"/>
    </row>
    <row r="68" spans="1:96" ht="84.05" customHeight="1" x14ac:dyDescent="0.5">
      <c r="A68" s="402">
        <v>65</v>
      </c>
      <c r="B68" s="404" t="s">
        <v>1024</v>
      </c>
      <c r="C68" s="403" t="s">
        <v>1025</v>
      </c>
      <c r="D68" s="405" t="s">
        <v>689</v>
      </c>
      <c r="E68" s="406" t="s">
        <v>988</v>
      </c>
      <c r="F68" s="402" t="s">
        <v>974</v>
      </c>
      <c r="G68" s="402">
        <v>2025</v>
      </c>
      <c r="H68" s="407">
        <v>46021</v>
      </c>
      <c r="I68" s="402">
        <v>19</v>
      </c>
      <c r="J68" s="413">
        <v>2</v>
      </c>
      <c r="K68" s="413"/>
      <c r="L68" s="413">
        <v>473</v>
      </c>
      <c r="M68" s="414">
        <f>N68+O68</f>
        <v>18109.2</v>
      </c>
      <c r="N68" s="414">
        <v>18109.2</v>
      </c>
      <c r="O68" s="414">
        <v>0</v>
      </c>
      <c r="P68" s="364"/>
      <c r="Q68" s="364"/>
      <c r="R68" s="364"/>
      <c r="S68" s="364"/>
      <c r="T68" s="364"/>
      <c r="U68" s="364"/>
      <c r="V68" s="364"/>
      <c r="W68" s="364"/>
      <c r="X68" s="364"/>
      <c r="Y68" s="377"/>
      <c r="Z68" s="365"/>
      <c r="AA68" s="365"/>
    </row>
    <row r="69" spans="1:96" ht="84.05" customHeight="1" x14ac:dyDescent="0.5">
      <c r="A69" s="402">
        <v>66</v>
      </c>
      <c r="B69" s="404" t="s">
        <v>1029</v>
      </c>
      <c r="C69" s="403" t="s">
        <v>1027</v>
      </c>
      <c r="D69" s="405" t="s">
        <v>685</v>
      </c>
      <c r="E69" s="405" t="s">
        <v>685</v>
      </c>
      <c r="F69" s="402" t="s">
        <v>1030</v>
      </c>
      <c r="G69" s="402">
        <v>2026</v>
      </c>
      <c r="H69" s="407">
        <v>46072</v>
      </c>
      <c r="I69" s="402">
        <v>25</v>
      </c>
      <c r="J69" s="413">
        <v>1</v>
      </c>
      <c r="K69" s="413"/>
      <c r="L69" s="413">
        <v>288</v>
      </c>
      <c r="M69" s="414">
        <f>N69+O69</f>
        <v>12051</v>
      </c>
      <c r="N69" s="414">
        <v>11201.4</v>
      </c>
      <c r="O69" s="414">
        <v>849.6</v>
      </c>
      <c r="P69" s="364"/>
      <c r="Q69" s="364"/>
      <c r="R69" s="364"/>
      <c r="S69" s="364"/>
      <c r="T69" s="364"/>
      <c r="U69" s="364"/>
      <c r="V69" s="364"/>
      <c r="W69" s="364"/>
      <c r="X69" s="364"/>
      <c r="Y69" s="377"/>
      <c r="Z69" s="365"/>
      <c r="AA69" s="365"/>
    </row>
    <row r="70" spans="1:96" ht="84.05" customHeight="1" x14ac:dyDescent="0.5">
      <c r="A70" s="402">
        <v>67</v>
      </c>
      <c r="B70" s="404" t="s">
        <v>1028</v>
      </c>
      <c r="C70" s="403" t="s">
        <v>1026</v>
      </c>
      <c r="D70" s="405" t="s">
        <v>685</v>
      </c>
      <c r="E70" s="405" t="s">
        <v>685</v>
      </c>
      <c r="F70" s="402" t="s">
        <v>1030</v>
      </c>
      <c r="G70" s="402">
        <v>2026</v>
      </c>
      <c r="H70" s="370">
        <v>46072</v>
      </c>
      <c r="I70" s="402">
        <v>14</v>
      </c>
      <c r="J70" s="413">
        <v>1</v>
      </c>
      <c r="K70" s="413"/>
      <c r="L70" s="413">
        <v>139</v>
      </c>
      <c r="M70" s="414">
        <f t="shared" ref="M70" si="3">N70+O70</f>
        <v>6292.6</v>
      </c>
      <c r="N70" s="414">
        <v>6292.6</v>
      </c>
      <c r="O70" s="414">
        <v>0</v>
      </c>
      <c r="P70" s="364"/>
      <c r="Q70" s="364"/>
      <c r="R70" s="364"/>
      <c r="S70" s="364"/>
      <c r="T70" s="364"/>
      <c r="U70" s="364"/>
      <c r="V70" s="364"/>
      <c r="W70" s="364"/>
      <c r="X70" s="364"/>
      <c r="Y70" s="377"/>
      <c r="Z70" s="365"/>
      <c r="AA70" s="365"/>
    </row>
    <row r="71" spans="1:96" s="348" customFormat="1" ht="84.05" customHeight="1" x14ac:dyDescent="0.5">
      <c r="A71" s="440" t="s">
        <v>661</v>
      </c>
      <c r="B71" s="440"/>
      <c r="C71" s="415"/>
      <c r="D71" s="416"/>
      <c r="E71" s="417"/>
      <c r="F71" s="426"/>
      <c r="G71" s="426"/>
      <c r="H71" s="418"/>
      <c r="I71" s="426"/>
      <c r="J71" s="419">
        <f>SUBTOTAL(9,J4:J70)</f>
        <v>112</v>
      </c>
      <c r="K71" s="419">
        <f>SUM(K4:K70)</f>
        <v>995</v>
      </c>
      <c r="L71" s="419">
        <f>SUBTOTAL(9,L4:L70)</f>
        <v>14045</v>
      </c>
      <c r="M71" s="419">
        <f>SUBTOTAL(9,M4:M70)</f>
        <v>634884.19999999972</v>
      </c>
      <c r="N71" s="419">
        <f>SUBTOTAL(9,N4:N70)</f>
        <v>601285.20000000007</v>
      </c>
      <c r="O71" s="419">
        <f>SUBTOTAL(9,O4:O70)</f>
        <v>33599.000000000007</v>
      </c>
      <c r="P71" s="419">
        <f>SUM(P4:P70)</f>
        <v>441865.09999999992</v>
      </c>
      <c r="Q71" s="419">
        <f>SUM(Q4:Q70)</f>
        <v>447880.1</v>
      </c>
      <c r="R71" s="419">
        <f>SUM(R4:R70)</f>
        <v>31787.200000000004</v>
      </c>
      <c r="S71" s="419">
        <f>SUM(S4:S70)</f>
        <v>0</v>
      </c>
      <c r="T71" s="419">
        <f>SUM(T4:T70)</f>
        <v>0</v>
      </c>
      <c r="U71" s="419">
        <f>SUM(U4:U70)</f>
        <v>0</v>
      </c>
      <c r="V71" s="419">
        <f>SUM(V4:V70)</f>
        <v>0</v>
      </c>
      <c r="W71" s="419">
        <f>SUM(W4:W70)</f>
        <v>0</v>
      </c>
      <c r="X71" s="419">
        <f>SUM(X4:X70)</f>
        <v>0</v>
      </c>
      <c r="Y71" s="419">
        <f>SUM(Y4:Y70)</f>
        <v>0</v>
      </c>
      <c r="Z71" s="366">
        <f t="shared" ref="Z71:AA71" si="4">SUM(Z4:Z42)</f>
        <v>480.5</v>
      </c>
      <c r="AA71" s="366">
        <f t="shared" si="4"/>
        <v>50068.6</v>
      </c>
      <c r="AC71" s="346"/>
      <c r="AD71" s="346"/>
      <c r="AE71" s="346"/>
      <c r="AF71" s="346"/>
      <c r="AG71" s="346"/>
      <c r="AH71" s="346"/>
      <c r="AI71" s="346"/>
      <c r="AJ71" s="346"/>
      <c r="AK71" s="346"/>
      <c r="AL71" s="346"/>
      <c r="AM71" s="346"/>
      <c r="AN71" s="346"/>
      <c r="AO71" s="346"/>
      <c r="AP71" s="346"/>
      <c r="AQ71" s="346"/>
      <c r="AR71" s="346"/>
      <c r="AS71" s="346"/>
      <c r="AT71" s="346"/>
      <c r="AU71" s="346"/>
      <c r="AV71" s="346"/>
      <c r="AW71" s="346"/>
      <c r="AX71" s="346"/>
      <c r="AY71" s="346"/>
      <c r="AZ71" s="346"/>
      <c r="BA71" s="346"/>
      <c r="BB71" s="346"/>
      <c r="BC71" s="346"/>
      <c r="BD71" s="346"/>
      <c r="BE71" s="346"/>
      <c r="BF71" s="346"/>
      <c r="BG71" s="346"/>
      <c r="BH71" s="346"/>
      <c r="BI71" s="346"/>
      <c r="BJ71" s="346"/>
      <c r="BK71" s="346"/>
      <c r="BL71" s="346"/>
      <c r="BM71" s="346"/>
      <c r="BN71" s="346"/>
      <c r="BO71" s="346"/>
      <c r="BP71" s="346"/>
      <c r="BQ71" s="346"/>
      <c r="BR71" s="346"/>
      <c r="BS71" s="346"/>
      <c r="BT71" s="346"/>
      <c r="BU71" s="346"/>
      <c r="BV71" s="346"/>
      <c r="BW71" s="346"/>
      <c r="BX71" s="346"/>
      <c r="BY71" s="346"/>
      <c r="BZ71" s="346"/>
      <c r="CA71" s="346"/>
      <c r="CB71" s="346"/>
      <c r="CC71" s="346"/>
      <c r="CD71" s="346"/>
      <c r="CE71" s="346"/>
      <c r="CF71" s="346"/>
      <c r="CG71" s="346"/>
      <c r="CH71" s="346"/>
      <c r="CI71" s="346"/>
      <c r="CJ71" s="346"/>
      <c r="CK71" s="346"/>
      <c r="CL71" s="346"/>
      <c r="CM71" s="346"/>
      <c r="CN71" s="346"/>
      <c r="CO71" s="346"/>
      <c r="CP71" s="346"/>
      <c r="CQ71" s="346"/>
      <c r="CR71" s="346"/>
    </row>
  </sheetData>
  <mergeCells count="28">
    <mergeCell ref="Z2:Z3"/>
    <mergeCell ref="AA2:AA3"/>
    <mergeCell ref="A71:B71"/>
    <mergeCell ref="Y2:Y3"/>
    <mergeCell ref="B1:Y1"/>
    <mergeCell ref="T2:T3"/>
    <mergeCell ref="U2:U3"/>
    <mergeCell ref="V2:V3"/>
    <mergeCell ref="W2:W3"/>
    <mergeCell ref="X2:X3"/>
    <mergeCell ref="P2:P3"/>
    <mergeCell ref="Q2:Q3"/>
    <mergeCell ref="R2:R3"/>
    <mergeCell ref="S2:S3"/>
    <mergeCell ref="M2:M3"/>
    <mergeCell ref="N2:N3"/>
    <mergeCell ref="O2:O3"/>
    <mergeCell ref="I2:I3"/>
    <mergeCell ref="J2:J3"/>
    <mergeCell ref="K2:K3"/>
    <mergeCell ref="L2:L3"/>
    <mergeCell ref="H2:H3"/>
    <mergeCell ref="A2:A3"/>
    <mergeCell ref="B2:B3"/>
    <mergeCell ref="C2:C3"/>
    <mergeCell ref="D2:E3"/>
    <mergeCell ref="F2:F3"/>
    <mergeCell ref="G2:G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18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33"/>
  <sheetViews>
    <sheetView zoomScaleSheetLayoutView="40" workbookViewId="0">
      <pane xSplit="2" ySplit="2" topLeftCell="C6" activePane="bottomRight" state="frozen"/>
      <selection pane="topRight" activeCell="C1" sqref="C1"/>
      <selection pane="bottomLeft" activeCell="A3" sqref="A3"/>
      <selection pane="bottomRight" activeCell="G1" sqref="F1:G1048576"/>
    </sheetView>
  </sheetViews>
  <sheetFormatPr defaultColWidth="9.33203125" defaultRowHeight="14.4" x14ac:dyDescent="0.3"/>
  <cols>
    <col min="1" max="1" width="8.44140625" style="79" customWidth="1"/>
    <col min="2" max="2" width="17.6640625" style="84" customWidth="1"/>
    <col min="3" max="3" width="30.44140625" style="79" customWidth="1"/>
    <col min="4" max="4" width="12" style="79" customWidth="1"/>
    <col min="5" max="5" width="16" style="85" customWidth="1"/>
    <col min="6" max="6" width="11.33203125" style="79" customWidth="1"/>
    <col min="7" max="7" width="19.33203125" style="85" customWidth="1"/>
    <col min="8" max="8" width="12.44140625" style="79" customWidth="1"/>
    <col min="9" max="9" width="13.6640625" style="79" customWidth="1"/>
    <col min="10" max="10" width="13.44140625" style="86" customWidth="1"/>
    <col min="11" max="16384" width="9.33203125" style="79"/>
  </cols>
  <sheetData>
    <row r="1" spans="1:10" ht="23.35" customHeight="1" x14ac:dyDescent="0.3">
      <c r="A1" s="433" t="s">
        <v>76</v>
      </c>
      <c r="B1" s="433" t="s">
        <v>75</v>
      </c>
      <c r="C1" s="435" t="s">
        <v>65</v>
      </c>
      <c r="D1" s="435"/>
      <c r="E1" s="434" t="s">
        <v>77</v>
      </c>
      <c r="F1" s="437" t="s">
        <v>439</v>
      </c>
      <c r="G1" s="434" t="s">
        <v>382</v>
      </c>
      <c r="H1" s="433" t="s">
        <v>21</v>
      </c>
      <c r="I1" s="433" t="s">
        <v>445</v>
      </c>
      <c r="J1" s="433" t="s">
        <v>440</v>
      </c>
    </row>
    <row r="2" spans="1:10" ht="72.8" customHeight="1" x14ac:dyDescent="0.3">
      <c r="A2" s="433"/>
      <c r="B2" s="433"/>
      <c r="C2" s="77" t="s">
        <v>26</v>
      </c>
      <c r="D2" s="77" t="s">
        <v>27</v>
      </c>
      <c r="E2" s="434"/>
      <c r="F2" s="438"/>
      <c r="G2" s="434"/>
      <c r="H2" s="433"/>
      <c r="I2" s="433"/>
      <c r="J2" s="433"/>
    </row>
    <row r="3" spans="1:10" ht="41.95" customHeight="1" x14ac:dyDescent="0.3">
      <c r="A3" s="49">
        <v>1</v>
      </c>
      <c r="B3" s="76" t="s">
        <v>31</v>
      </c>
      <c r="C3" s="67" t="s">
        <v>29</v>
      </c>
      <c r="D3" s="49" t="s">
        <v>30</v>
      </c>
      <c r="E3" s="68">
        <v>39048</v>
      </c>
      <c r="F3" s="49" t="s">
        <v>252</v>
      </c>
      <c r="G3" s="69" t="s">
        <v>397</v>
      </c>
      <c r="H3" s="49">
        <v>9</v>
      </c>
      <c r="I3" s="49"/>
      <c r="J3" s="80" t="s">
        <v>441</v>
      </c>
    </row>
    <row r="4" spans="1:10" ht="41.95" customHeight="1" x14ac:dyDescent="0.3">
      <c r="A4" s="49">
        <v>2</v>
      </c>
      <c r="B4" s="76" t="s">
        <v>36</v>
      </c>
      <c r="C4" s="67" t="s">
        <v>29</v>
      </c>
      <c r="D4" s="49" t="s">
        <v>35</v>
      </c>
      <c r="E4" s="68">
        <v>39437</v>
      </c>
      <c r="F4" s="49" t="s">
        <v>252</v>
      </c>
      <c r="G4" s="69" t="s">
        <v>386</v>
      </c>
      <c r="H4" s="49">
        <v>9</v>
      </c>
      <c r="I4" s="49"/>
      <c r="J4" s="80" t="s">
        <v>441</v>
      </c>
    </row>
    <row r="5" spans="1:10" ht="41.95" customHeight="1" x14ac:dyDescent="0.3">
      <c r="A5" s="49">
        <v>3</v>
      </c>
      <c r="B5" s="76" t="s">
        <v>1</v>
      </c>
      <c r="C5" s="67" t="s">
        <v>37</v>
      </c>
      <c r="D5" s="49">
        <v>5</v>
      </c>
      <c r="E5" s="68">
        <v>39849</v>
      </c>
      <c r="F5" s="49" t="s">
        <v>252</v>
      </c>
      <c r="G5" s="69" t="s">
        <v>392</v>
      </c>
      <c r="H5" s="49">
        <v>10</v>
      </c>
      <c r="I5" s="49"/>
      <c r="J5" s="80" t="s">
        <v>441</v>
      </c>
    </row>
    <row r="6" spans="1:10" ht="41.95" customHeight="1" x14ac:dyDescent="0.3">
      <c r="A6" s="49">
        <v>4</v>
      </c>
      <c r="B6" s="76" t="s">
        <v>40</v>
      </c>
      <c r="C6" s="67" t="s">
        <v>39</v>
      </c>
      <c r="D6" s="49">
        <v>51</v>
      </c>
      <c r="E6" s="68">
        <v>40329</v>
      </c>
      <c r="F6" s="49" t="s">
        <v>252</v>
      </c>
      <c r="G6" s="69" t="s">
        <v>388</v>
      </c>
      <c r="H6" s="49">
        <v>12</v>
      </c>
      <c r="I6" s="49">
        <v>1</v>
      </c>
      <c r="J6" s="80" t="s">
        <v>441</v>
      </c>
    </row>
    <row r="7" spans="1:10" ht="41.95" customHeight="1" x14ac:dyDescent="0.3">
      <c r="A7" s="49">
        <v>5</v>
      </c>
      <c r="B7" s="76" t="s">
        <v>0</v>
      </c>
      <c r="C7" s="67" t="s">
        <v>42</v>
      </c>
      <c r="D7" s="49">
        <v>8</v>
      </c>
      <c r="E7" s="68">
        <v>40618</v>
      </c>
      <c r="F7" s="49" t="s">
        <v>252</v>
      </c>
      <c r="G7" s="69" t="s">
        <v>398</v>
      </c>
      <c r="H7" s="49">
        <v>10</v>
      </c>
      <c r="I7" s="49"/>
      <c r="J7" s="80" t="s">
        <v>441</v>
      </c>
    </row>
    <row r="8" spans="1:10" ht="41.95" customHeight="1" x14ac:dyDescent="0.3">
      <c r="A8" s="49">
        <v>6</v>
      </c>
      <c r="B8" s="71" t="s">
        <v>4</v>
      </c>
      <c r="C8" s="67" t="s">
        <v>43</v>
      </c>
      <c r="D8" s="49">
        <v>19</v>
      </c>
      <c r="E8" s="68">
        <v>40847</v>
      </c>
      <c r="F8" s="49" t="s">
        <v>252</v>
      </c>
      <c r="G8" s="72" t="s">
        <v>387</v>
      </c>
      <c r="H8" s="73">
        <v>10</v>
      </c>
      <c r="I8" s="73"/>
      <c r="J8" s="80" t="s">
        <v>441</v>
      </c>
    </row>
    <row r="9" spans="1:10" ht="41.95" customHeight="1" x14ac:dyDescent="0.3">
      <c r="A9" s="49">
        <v>7</v>
      </c>
      <c r="B9" s="76" t="s">
        <v>3</v>
      </c>
      <c r="C9" s="67" t="s">
        <v>44</v>
      </c>
      <c r="D9" s="49">
        <v>87</v>
      </c>
      <c r="E9" s="68">
        <v>40847</v>
      </c>
      <c r="F9" s="49" t="s">
        <v>252</v>
      </c>
      <c r="G9" s="69" t="s">
        <v>396</v>
      </c>
      <c r="H9" s="49">
        <v>10</v>
      </c>
      <c r="I9" s="49"/>
      <c r="J9" s="80" t="s">
        <v>441</v>
      </c>
    </row>
    <row r="10" spans="1:10" ht="41.95" customHeight="1" x14ac:dyDescent="0.3">
      <c r="A10" s="49">
        <v>8</v>
      </c>
      <c r="B10" s="78" t="s">
        <v>444</v>
      </c>
      <c r="C10" s="67" t="s">
        <v>45</v>
      </c>
      <c r="D10" s="49" t="s">
        <v>46</v>
      </c>
      <c r="E10" s="68">
        <v>41421</v>
      </c>
      <c r="F10" s="49" t="s">
        <v>252</v>
      </c>
      <c r="G10" s="69" t="s">
        <v>383</v>
      </c>
      <c r="H10" s="49" t="s">
        <v>9</v>
      </c>
      <c r="I10" s="49"/>
      <c r="J10" s="80" t="s">
        <v>441</v>
      </c>
    </row>
    <row r="11" spans="1:10" ht="41.95" customHeight="1" x14ac:dyDescent="0.3">
      <c r="A11" s="49">
        <v>9</v>
      </c>
      <c r="B11" s="76" t="s">
        <v>6</v>
      </c>
      <c r="C11" s="67" t="s">
        <v>48</v>
      </c>
      <c r="D11" s="49">
        <v>67</v>
      </c>
      <c r="E11" s="68">
        <v>41507</v>
      </c>
      <c r="F11" s="49" t="s">
        <v>252</v>
      </c>
      <c r="G11" s="69" t="s">
        <v>384</v>
      </c>
      <c r="H11" s="49" t="s">
        <v>49</v>
      </c>
      <c r="I11" s="49"/>
      <c r="J11" s="80" t="s">
        <v>441</v>
      </c>
    </row>
    <row r="12" spans="1:10" ht="41.95" customHeight="1" x14ac:dyDescent="0.3">
      <c r="A12" s="49">
        <v>10</v>
      </c>
      <c r="B12" s="76" t="s">
        <v>59</v>
      </c>
      <c r="C12" s="67" t="s">
        <v>44</v>
      </c>
      <c r="D12" s="49" t="s">
        <v>60</v>
      </c>
      <c r="E12" s="68">
        <v>41603</v>
      </c>
      <c r="F12" s="49" t="s">
        <v>252</v>
      </c>
      <c r="G12" s="69" t="s">
        <v>395</v>
      </c>
      <c r="H12" s="49" t="s">
        <v>61</v>
      </c>
      <c r="I12" s="49"/>
      <c r="J12" s="80" t="s">
        <v>441</v>
      </c>
    </row>
    <row r="13" spans="1:10" ht="41.95" customHeight="1" x14ac:dyDescent="0.3">
      <c r="A13" s="49">
        <v>11</v>
      </c>
      <c r="B13" s="76" t="s">
        <v>68</v>
      </c>
      <c r="C13" s="67" t="s">
        <v>42</v>
      </c>
      <c r="D13" s="49">
        <v>10</v>
      </c>
      <c r="E13" s="68">
        <v>41687</v>
      </c>
      <c r="F13" s="49" t="s">
        <v>252</v>
      </c>
      <c r="G13" s="69" t="s">
        <v>393</v>
      </c>
      <c r="H13" s="49">
        <v>17</v>
      </c>
      <c r="I13" s="49"/>
      <c r="J13" s="80" t="s">
        <v>441</v>
      </c>
    </row>
    <row r="14" spans="1:10" ht="41.95" customHeight="1" x14ac:dyDescent="0.3">
      <c r="A14" s="49">
        <v>12</v>
      </c>
      <c r="B14" s="76" t="s">
        <v>274</v>
      </c>
      <c r="C14" s="67" t="s">
        <v>278</v>
      </c>
      <c r="D14" s="49">
        <v>76</v>
      </c>
      <c r="E14" s="68">
        <v>41991</v>
      </c>
      <c r="F14" s="49" t="s">
        <v>252</v>
      </c>
      <c r="G14" s="69" t="s">
        <v>385</v>
      </c>
      <c r="H14" s="49" t="s">
        <v>280</v>
      </c>
      <c r="I14" s="49">
        <v>1</v>
      </c>
      <c r="J14" s="80" t="s">
        <v>441</v>
      </c>
    </row>
    <row r="15" spans="1:10" ht="41.95" customHeight="1" x14ac:dyDescent="0.3">
      <c r="A15" s="49">
        <v>13</v>
      </c>
      <c r="B15" s="76" t="s">
        <v>275</v>
      </c>
      <c r="C15" s="67" t="s">
        <v>278</v>
      </c>
      <c r="D15" s="49" t="s">
        <v>279</v>
      </c>
      <c r="E15" s="68">
        <v>41991</v>
      </c>
      <c r="F15" s="49" t="s">
        <v>252</v>
      </c>
      <c r="G15" s="69" t="s">
        <v>385</v>
      </c>
      <c r="H15" s="49" t="s">
        <v>280</v>
      </c>
      <c r="I15" s="49">
        <v>1</v>
      </c>
      <c r="J15" s="80" t="s">
        <v>441</v>
      </c>
    </row>
    <row r="16" spans="1:10" ht="51.85" customHeight="1" x14ac:dyDescent="0.3">
      <c r="A16" s="49">
        <v>14</v>
      </c>
      <c r="B16" s="76" t="s">
        <v>276</v>
      </c>
      <c r="C16" s="67" t="s">
        <v>310</v>
      </c>
      <c r="D16" s="49" t="s">
        <v>311</v>
      </c>
      <c r="E16" s="68">
        <v>42009</v>
      </c>
      <c r="F16" s="49" t="s">
        <v>252</v>
      </c>
      <c r="G16" s="69" t="s">
        <v>442</v>
      </c>
      <c r="H16" s="49">
        <v>17</v>
      </c>
      <c r="I16" s="49">
        <v>1</v>
      </c>
      <c r="J16" s="80" t="s">
        <v>441</v>
      </c>
    </row>
    <row r="17" spans="1:10" ht="53.25" customHeight="1" x14ac:dyDescent="0.3">
      <c r="A17" s="49">
        <v>15</v>
      </c>
      <c r="B17" s="76" t="s">
        <v>277</v>
      </c>
      <c r="C17" s="67" t="s">
        <v>320</v>
      </c>
      <c r="D17" s="49">
        <v>28</v>
      </c>
      <c r="E17" s="68">
        <v>42088</v>
      </c>
      <c r="F17" s="49" t="s">
        <v>252</v>
      </c>
      <c r="G17" s="69" t="s">
        <v>443</v>
      </c>
      <c r="H17" s="49">
        <v>17</v>
      </c>
      <c r="I17" s="49">
        <v>1</v>
      </c>
      <c r="J17" s="80" t="s">
        <v>441</v>
      </c>
    </row>
    <row r="18" spans="1:10" ht="41.95" customHeight="1" x14ac:dyDescent="0.3">
      <c r="A18" s="49">
        <v>16</v>
      </c>
      <c r="B18" s="76" t="s">
        <v>369</v>
      </c>
      <c r="C18" s="67" t="s">
        <v>320</v>
      </c>
      <c r="D18" s="49" t="s">
        <v>370</v>
      </c>
      <c r="E18" s="68">
        <v>42291</v>
      </c>
      <c r="F18" s="49" t="s">
        <v>252</v>
      </c>
      <c r="G18" s="69" t="s">
        <v>385</v>
      </c>
      <c r="H18" s="49" t="s">
        <v>371</v>
      </c>
      <c r="I18" s="49">
        <v>1</v>
      </c>
      <c r="J18" s="80" t="s">
        <v>441</v>
      </c>
    </row>
    <row r="19" spans="1:10" ht="41.95" customHeight="1" x14ac:dyDescent="0.3">
      <c r="A19" s="49">
        <v>17</v>
      </c>
      <c r="B19" s="76" t="s">
        <v>412</v>
      </c>
      <c r="C19" s="67" t="s">
        <v>413</v>
      </c>
      <c r="D19" s="49">
        <v>18</v>
      </c>
      <c r="E19" s="68">
        <v>42643</v>
      </c>
      <c r="F19" s="49" t="s">
        <v>252</v>
      </c>
      <c r="G19" s="68" t="s">
        <v>428</v>
      </c>
      <c r="H19" s="49">
        <v>10</v>
      </c>
      <c r="I19" s="49">
        <v>1</v>
      </c>
      <c r="J19" s="80" t="s">
        <v>441</v>
      </c>
    </row>
    <row r="20" spans="1:10" ht="41.95" customHeight="1" x14ac:dyDescent="0.3">
      <c r="A20" s="49">
        <v>18</v>
      </c>
      <c r="B20" s="76" t="s">
        <v>421</v>
      </c>
      <c r="C20" s="67" t="s">
        <v>424</v>
      </c>
      <c r="D20" s="49">
        <v>21</v>
      </c>
      <c r="E20" s="68">
        <v>42699</v>
      </c>
      <c r="F20" s="49" t="s">
        <v>252</v>
      </c>
      <c r="G20" s="68" t="s">
        <v>429</v>
      </c>
      <c r="H20" s="49">
        <v>17</v>
      </c>
      <c r="I20" s="49">
        <v>1</v>
      </c>
      <c r="J20" s="80" t="s">
        <v>441</v>
      </c>
    </row>
    <row r="21" spans="1:10" ht="41.95" customHeight="1" x14ac:dyDescent="0.3">
      <c r="A21" s="49">
        <v>19</v>
      </c>
      <c r="B21" s="76" t="s">
        <v>422</v>
      </c>
      <c r="C21" s="67" t="s">
        <v>425</v>
      </c>
      <c r="D21" s="49">
        <v>11</v>
      </c>
      <c r="E21" s="68">
        <v>42732</v>
      </c>
      <c r="F21" s="49" t="s">
        <v>252</v>
      </c>
      <c r="G21" s="68" t="s">
        <v>430</v>
      </c>
      <c r="H21" s="49">
        <v>10</v>
      </c>
      <c r="I21" s="49">
        <v>1</v>
      </c>
      <c r="J21" s="80" t="s">
        <v>441</v>
      </c>
    </row>
    <row r="22" spans="1:10" s="81" customFormat="1" ht="24.75" hidden="1" customHeight="1" x14ac:dyDescent="0.3">
      <c r="A22" s="81">
        <v>16</v>
      </c>
      <c r="B22" s="436" t="s">
        <v>419</v>
      </c>
      <c r="C22" s="436"/>
      <c r="D22" s="436"/>
      <c r="E22" s="82"/>
      <c r="F22" s="83"/>
      <c r="G22" s="82"/>
      <c r="J22" s="83"/>
    </row>
    <row r="33" spans="3:10" s="84" customFormat="1" x14ac:dyDescent="0.3">
      <c r="C33" s="79"/>
      <c r="D33" s="79"/>
      <c r="E33" s="85"/>
      <c r="F33" s="79"/>
      <c r="G33" s="85"/>
      <c r="H33" s="79"/>
      <c r="I33" s="79"/>
      <c r="J33" s="87"/>
    </row>
  </sheetData>
  <mergeCells count="10">
    <mergeCell ref="A1:A2"/>
    <mergeCell ref="B1:B2"/>
    <mergeCell ref="C1:D1"/>
    <mergeCell ref="B22:D22"/>
    <mergeCell ref="F1:F2"/>
    <mergeCell ref="I1:I2"/>
    <mergeCell ref="H1:H2"/>
    <mergeCell ref="J1:J2"/>
    <mergeCell ref="E1:E2"/>
    <mergeCell ref="G1:G2"/>
  </mergeCells>
  <printOptions horizontalCentered="1"/>
  <pageMargins left="3.937007874015748E-2" right="3.937007874015748E-2" top="0.15748031496062992" bottom="0.15748031496062992" header="0.31496062992125984" footer="0.31496062992125984"/>
  <pageSetup paperSize="9" scale="61" fitToWidth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workbookViewId="0">
      <selection activeCell="B11" sqref="B11"/>
    </sheetView>
  </sheetViews>
  <sheetFormatPr defaultColWidth="9.109375" defaultRowHeight="15.05" x14ac:dyDescent="0.3"/>
  <cols>
    <col min="1" max="1" width="17.109375" style="420" customWidth="1"/>
    <col min="2" max="2" width="13" style="420" customWidth="1"/>
    <col min="3" max="3" width="13.109375" style="420" customWidth="1"/>
    <col min="4" max="4" width="16.33203125" style="420" customWidth="1"/>
    <col min="5" max="5" width="20" style="420" customWidth="1"/>
    <col min="6" max="16384" width="9.109375" style="420"/>
  </cols>
  <sheetData>
    <row r="1" spans="1:5" ht="15.85" customHeight="1" x14ac:dyDescent="0.3">
      <c r="A1" s="442" t="s">
        <v>666</v>
      </c>
      <c r="B1" s="442" t="s">
        <v>911</v>
      </c>
      <c r="C1" s="442" t="s">
        <v>912</v>
      </c>
      <c r="D1" s="442" t="s">
        <v>913</v>
      </c>
      <c r="E1" s="442" t="s">
        <v>1023</v>
      </c>
    </row>
    <row r="2" spans="1:5" ht="15.05" customHeight="1" x14ac:dyDescent="0.3">
      <c r="A2" s="442"/>
      <c r="B2" s="442"/>
      <c r="C2" s="442"/>
      <c r="D2" s="442"/>
      <c r="E2" s="442"/>
    </row>
    <row r="3" spans="1:5" ht="15.65" x14ac:dyDescent="0.3">
      <c r="A3" s="50" t="s">
        <v>897</v>
      </c>
      <c r="B3" s="423"/>
      <c r="C3" s="423">
        <v>701.1</v>
      </c>
      <c r="D3" s="423"/>
      <c r="E3" s="423">
        <f t="shared" ref="E3:E44" si="0">SUM(B3:D3)</f>
        <v>701.1</v>
      </c>
    </row>
    <row r="4" spans="1:5" ht="15.65" x14ac:dyDescent="0.3">
      <c r="A4" s="50" t="s">
        <v>894</v>
      </c>
      <c r="B4" s="423"/>
      <c r="C4" s="423">
        <v>538.1</v>
      </c>
      <c r="D4" s="423"/>
      <c r="E4" s="423">
        <f t="shared" si="0"/>
        <v>538.1</v>
      </c>
    </row>
    <row r="5" spans="1:5" ht="15.65" x14ac:dyDescent="0.3">
      <c r="A5" s="50" t="s">
        <v>1022</v>
      </c>
      <c r="B5" s="423"/>
      <c r="C5" s="423"/>
      <c r="D5" s="423">
        <v>908.6</v>
      </c>
      <c r="E5" s="423">
        <f t="shared" si="0"/>
        <v>908.6</v>
      </c>
    </row>
    <row r="6" spans="1:5" ht="15.65" x14ac:dyDescent="0.3">
      <c r="A6" s="50" t="s">
        <v>900</v>
      </c>
      <c r="B6" s="423"/>
      <c r="C6" s="423">
        <v>973.7</v>
      </c>
      <c r="D6" s="423"/>
      <c r="E6" s="423">
        <f t="shared" si="0"/>
        <v>973.7</v>
      </c>
    </row>
    <row r="7" spans="1:5" ht="15.65" x14ac:dyDescent="0.3">
      <c r="A7" s="50" t="s">
        <v>848</v>
      </c>
      <c r="B7" s="423"/>
      <c r="C7" s="423">
        <v>1536.8</v>
      </c>
      <c r="D7" s="423"/>
      <c r="E7" s="423">
        <f t="shared" si="0"/>
        <v>1536.8</v>
      </c>
    </row>
    <row r="8" spans="1:5" ht="15.65" x14ac:dyDescent="0.3">
      <c r="A8" s="425" t="s">
        <v>1021</v>
      </c>
      <c r="B8" s="423"/>
      <c r="C8" s="423">
        <v>368</v>
      </c>
      <c r="D8" s="423"/>
      <c r="E8" s="423">
        <f t="shared" si="0"/>
        <v>368</v>
      </c>
    </row>
    <row r="9" spans="1:5" ht="15.65" x14ac:dyDescent="0.3">
      <c r="A9" s="50" t="s">
        <v>1020</v>
      </c>
      <c r="B9" s="423"/>
      <c r="C9" s="423"/>
      <c r="D9" s="423">
        <v>4438</v>
      </c>
      <c r="E9" s="423">
        <f t="shared" si="0"/>
        <v>4438</v>
      </c>
    </row>
    <row r="10" spans="1:5" ht="15.65" x14ac:dyDescent="0.3">
      <c r="A10" s="50" t="s">
        <v>899</v>
      </c>
      <c r="B10" s="423"/>
      <c r="C10" s="423">
        <v>1494.6</v>
      </c>
      <c r="D10" s="423"/>
      <c r="E10" s="423">
        <f t="shared" si="0"/>
        <v>1494.6</v>
      </c>
    </row>
    <row r="11" spans="1:5" ht="15.65" x14ac:dyDescent="0.3">
      <c r="A11" s="50" t="s">
        <v>908</v>
      </c>
      <c r="B11" s="423"/>
      <c r="C11" s="423">
        <v>2185.6</v>
      </c>
      <c r="D11" s="423"/>
      <c r="E11" s="423">
        <f t="shared" si="0"/>
        <v>2185.6</v>
      </c>
    </row>
    <row r="12" spans="1:5" ht="15.65" x14ac:dyDescent="0.3">
      <c r="A12" s="50" t="s">
        <v>907</v>
      </c>
      <c r="B12" s="423"/>
      <c r="C12" s="423">
        <v>634.29999999999995</v>
      </c>
      <c r="D12" s="423"/>
      <c r="E12" s="423">
        <f t="shared" si="0"/>
        <v>634.29999999999995</v>
      </c>
    </row>
    <row r="13" spans="1:5" ht="15.65" x14ac:dyDescent="0.3">
      <c r="A13" s="50" t="s">
        <v>1019</v>
      </c>
      <c r="B13" s="423"/>
      <c r="C13" s="423"/>
      <c r="D13" s="423">
        <v>4711.8</v>
      </c>
      <c r="E13" s="423">
        <f t="shared" si="0"/>
        <v>4711.8</v>
      </c>
    </row>
    <row r="14" spans="1:5" ht="15.65" x14ac:dyDescent="0.3">
      <c r="A14" s="424" t="s">
        <v>1018</v>
      </c>
      <c r="B14" s="423"/>
      <c r="C14" s="423">
        <v>715.5</v>
      </c>
      <c r="D14" s="423"/>
      <c r="E14" s="423">
        <f t="shared" si="0"/>
        <v>715.5</v>
      </c>
    </row>
    <row r="15" spans="1:5" ht="15.65" x14ac:dyDescent="0.3">
      <c r="A15" s="50" t="s">
        <v>903</v>
      </c>
      <c r="B15" s="423">
        <v>298.7</v>
      </c>
      <c r="C15" s="423">
        <v>712.4</v>
      </c>
      <c r="D15" s="423"/>
      <c r="E15" s="423">
        <f t="shared" si="0"/>
        <v>1011.0999999999999</v>
      </c>
    </row>
    <row r="16" spans="1:5" ht="15.65" x14ac:dyDescent="0.3">
      <c r="A16" s="50" t="s">
        <v>901</v>
      </c>
      <c r="B16" s="423">
        <v>323.2</v>
      </c>
      <c r="C16" s="423">
        <v>155.1</v>
      </c>
      <c r="D16" s="423"/>
      <c r="E16" s="423">
        <f t="shared" si="0"/>
        <v>478.29999999999995</v>
      </c>
    </row>
    <row r="17" spans="1:5" ht="15.65" x14ac:dyDescent="0.3">
      <c r="A17" s="50" t="s">
        <v>902</v>
      </c>
      <c r="B17" s="423">
        <v>317.2</v>
      </c>
      <c r="C17" s="423">
        <v>349.3</v>
      </c>
      <c r="D17" s="423"/>
      <c r="E17" s="423">
        <f t="shared" si="0"/>
        <v>666.5</v>
      </c>
    </row>
    <row r="18" spans="1:5" ht="15.65" x14ac:dyDescent="0.3">
      <c r="A18" s="50" t="s">
        <v>1017</v>
      </c>
      <c r="B18" s="423"/>
      <c r="C18" s="423"/>
      <c r="D18" s="423">
        <v>1422.2</v>
      </c>
      <c r="E18" s="423">
        <f t="shared" si="0"/>
        <v>1422.2</v>
      </c>
    </row>
    <row r="19" spans="1:5" ht="15.65" x14ac:dyDescent="0.3">
      <c r="A19" s="50" t="s">
        <v>1016</v>
      </c>
      <c r="B19" s="423"/>
      <c r="C19" s="423"/>
      <c r="D19" s="423">
        <v>1601.3</v>
      </c>
      <c r="E19" s="423">
        <f t="shared" si="0"/>
        <v>1601.3</v>
      </c>
    </row>
    <row r="20" spans="1:5" ht="15.65" x14ac:dyDescent="0.3">
      <c r="A20" s="50" t="s">
        <v>638</v>
      </c>
      <c r="B20" s="423"/>
      <c r="C20" s="423">
        <v>1435.7</v>
      </c>
      <c r="D20" s="423">
        <v>4382.7</v>
      </c>
      <c r="E20" s="423">
        <f t="shared" si="0"/>
        <v>5818.4</v>
      </c>
    </row>
    <row r="21" spans="1:5" ht="15.65" x14ac:dyDescent="0.3">
      <c r="A21" s="50" t="s">
        <v>604</v>
      </c>
      <c r="B21" s="423">
        <v>235.7</v>
      </c>
      <c r="C21" s="423">
        <v>630.5</v>
      </c>
      <c r="D21" s="423"/>
      <c r="E21" s="423">
        <f t="shared" si="0"/>
        <v>866.2</v>
      </c>
    </row>
    <row r="22" spans="1:5" ht="15.65" x14ac:dyDescent="0.3">
      <c r="A22" s="50" t="s">
        <v>968</v>
      </c>
      <c r="B22" s="423"/>
      <c r="C22" s="423">
        <v>1255.5999999999999</v>
      </c>
      <c r="D22" s="423"/>
      <c r="E22" s="423">
        <f t="shared" si="0"/>
        <v>1255.5999999999999</v>
      </c>
    </row>
    <row r="23" spans="1:5" ht="15.65" x14ac:dyDescent="0.3">
      <c r="A23" s="50" t="s">
        <v>1001</v>
      </c>
      <c r="B23" s="423"/>
      <c r="C23" s="423">
        <v>744.5</v>
      </c>
      <c r="D23" s="423"/>
      <c r="E23" s="423">
        <f t="shared" si="0"/>
        <v>744.5</v>
      </c>
    </row>
    <row r="24" spans="1:5" ht="15.65" x14ac:dyDescent="0.3">
      <c r="A24" s="50" t="s">
        <v>1015</v>
      </c>
      <c r="B24" s="423"/>
      <c r="C24" s="423"/>
      <c r="D24" s="423">
        <v>2942.5</v>
      </c>
      <c r="E24" s="423">
        <f t="shared" si="0"/>
        <v>2942.5</v>
      </c>
    </row>
    <row r="25" spans="1:5" ht="15.65" x14ac:dyDescent="0.3">
      <c r="A25" s="50" t="s">
        <v>895</v>
      </c>
      <c r="B25" s="423"/>
      <c r="C25" s="423">
        <v>199.4</v>
      </c>
      <c r="D25" s="423"/>
      <c r="E25" s="423">
        <f t="shared" si="0"/>
        <v>199.4</v>
      </c>
    </row>
    <row r="26" spans="1:5" ht="15.65" x14ac:dyDescent="0.3">
      <c r="A26" s="50" t="s">
        <v>896</v>
      </c>
      <c r="B26" s="423"/>
      <c r="C26" s="423">
        <v>516.9</v>
      </c>
      <c r="D26" s="423"/>
      <c r="E26" s="423">
        <f t="shared" si="0"/>
        <v>516.9</v>
      </c>
    </row>
    <row r="27" spans="1:5" ht="15.65" x14ac:dyDescent="0.3">
      <c r="A27" s="50" t="s">
        <v>562</v>
      </c>
      <c r="B27" s="423">
        <v>325.39999999999998</v>
      </c>
      <c r="C27" s="423">
        <v>1177.5999999999999</v>
      </c>
      <c r="D27" s="423"/>
      <c r="E27" s="423">
        <f t="shared" si="0"/>
        <v>1503</v>
      </c>
    </row>
    <row r="28" spans="1:5" ht="15.65" x14ac:dyDescent="0.3">
      <c r="A28" s="50" t="s">
        <v>639</v>
      </c>
      <c r="B28" s="423">
        <v>88.7</v>
      </c>
      <c r="C28" s="423">
        <v>1242</v>
      </c>
      <c r="D28" s="423"/>
      <c r="E28" s="423">
        <f t="shared" si="0"/>
        <v>1330.7</v>
      </c>
    </row>
    <row r="29" spans="1:5" ht="15.65" x14ac:dyDescent="0.3">
      <c r="A29" s="50" t="s">
        <v>40</v>
      </c>
      <c r="B29" s="423"/>
      <c r="C29" s="423">
        <v>1130.8</v>
      </c>
      <c r="D29" s="423">
        <v>2259.8000000000002</v>
      </c>
      <c r="E29" s="423">
        <f t="shared" si="0"/>
        <v>3390.6000000000004</v>
      </c>
    </row>
    <row r="30" spans="1:5" ht="15.65" x14ac:dyDescent="0.3">
      <c r="A30" s="50" t="s">
        <v>1014</v>
      </c>
      <c r="B30" s="423"/>
      <c r="C30" s="423"/>
      <c r="D30" s="423">
        <v>1942.6</v>
      </c>
      <c r="E30" s="423">
        <f t="shared" si="0"/>
        <v>1942.6</v>
      </c>
    </row>
    <row r="31" spans="1:5" ht="15.65" x14ac:dyDescent="0.3">
      <c r="A31" s="50" t="s">
        <v>909</v>
      </c>
      <c r="B31" s="423"/>
      <c r="C31" s="423">
        <v>488.6</v>
      </c>
      <c r="D31" s="423"/>
      <c r="E31" s="423">
        <f t="shared" si="0"/>
        <v>488.6</v>
      </c>
    </row>
    <row r="32" spans="1:5" ht="15.65" x14ac:dyDescent="0.3">
      <c r="A32" s="50" t="s">
        <v>850</v>
      </c>
      <c r="B32" s="423"/>
      <c r="C32" s="423">
        <v>360</v>
      </c>
      <c r="D32" s="423"/>
      <c r="E32" s="423">
        <f t="shared" si="0"/>
        <v>360</v>
      </c>
    </row>
    <row r="33" spans="1:5" ht="15.65" x14ac:dyDescent="0.3">
      <c r="A33" s="50" t="s">
        <v>898</v>
      </c>
      <c r="B33" s="423"/>
      <c r="C33" s="423">
        <v>35.6</v>
      </c>
      <c r="D33" s="423"/>
      <c r="E33" s="423">
        <f t="shared" si="0"/>
        <v>35.6</v>
      </c>
    </row>
    <row r="34" spans="1:5" ht="15.65" x14ac:dyDescent="0.3">
      <c r="A34" s="50" t="s">
        <v>563</v>
      </c>
      <c r="B34" s="423">
        <v>228.1</v>
      </c>
      <c r="C34" s="423">
        <v>627.79999999999995</v>
      </c>
      <c r="D34" s="423"/>
      <c r="E34" s="423">
        <f t="shared" si="0"/>
        <v>855.9</v>
      </c>
    </row>
    <row r="35" spans="1:5" ht="15.65" x14ac:dyDescent="0.3">
      <c r="A35" s="50" t="s">
        <v>643</v>
      </c>
      <c r="B35" s="423">
        <v>87.7</v>
      </c>
      <c r="C35" s="423">
        <v>657.3</v>
      </c>
      <c r="D35" s="423"/>
      <c r="E35" s="423">
        <f t="shared" si="0"/>
        <v>745</v>
      </c>
    </row>
    <row r="36" spans="1:5" ht="15.65" x14ac:dyDescent="0.3">
      <c r="A36" s="50" t="s">
        <v>647</v>
      </c>
      <c r="B36" s="423">
        <v>91</v>
      </c>
      <c r="C36" s="423">
        <v>607.4</v>
      </c>
      <c r="D36" s="423"/>
      <c r="E36" s="423">
        <f t="shared" si="0"/>
        <v>698.4</v>
      </c>
    </row>
    <row r="37" spans="1:5" ht="15.65" x14ac:dyDescent="0.3">
      <c r="A37" s="50" t="s">
        <v>648</v>
      </c>
      <c r="B37" s="423"/>
      <c r="C37" s="423">
        <v>629.6</v>
      </c>
      <c r="D37" s="423"/>
      <c r="E37" s="423">
        <f t="shared" si="0"/>
        <v>629.6</v>
      </c>
    </row>
    <row r="38" spans="1:5" ht="15.65" x14ac:dyDescent="0.3">
      <c r="A38" s="50" t="s">
        <v>765</v>
      </c>
      <c r="B38" s="423"/>
      <c r="C38" s="423">
        <v>685.1</v>
      </c>
      <c r="D38" s="423"/>
      <c r="E38" s="423">
        <f t="shared" si="0"/>
        <v>685.1</v>
      </c>
    </row>
    <row r="39" spans="1:5" ht="15.65" x14ac:dyDescent="0.3">
      <c r="A39" s="50" t="s">
        <v>773</v>
      </c>
      <c r="B39" s="423"/>
      <c r="C39" s="423">
        <v>311.39999999999998</v>
      </c>
      <c r="D39" s="423"/>
      <c r="E39" s="423">
        <f t="shared" si="0"/>
        <v>311.39999999999998</v>
      </c>
    </row>
    <row r="40" spans="1:5" ht="15.65" x14ac:dyDescent="0.3">
      <c r="A40" s="50" t="s">
        <v>822</v>
      </c>
      <c r="B40" s="423"/>
      <c r="C40" s="423">
        <v>565.70000000000005</v>
      </c>
      <c r="D40" s="423"/>
      <c r="E40" s="423">
        <f t="shared" si="0"/>
        <v>565.70000000000005</v>
      </c>
    </row>
    <row r="41" spans="1:5" ht="15.65" x14ac:dyDescent="0.3">
      <c r="A41" s="50" t="s">
        <v>466</v>
      </c>
      <c r="B41" s="423"/>
      <c r="C41" s="423">
        <v>1517</v>
      </c>
      <c r="D41" s="423"/>
      <c r="E41" s="423">
        <f t="shared" si="0"/>
        <v>1517</v>
      </c>
    </row>
    <row r="42" spans="1:5" ht="15.65" x14ac:dyDescent="0.3">
      <c r="A42" s="50" t="s">
        <v>601</v>
      </c>
      <c r="B42" s="423"/>
      <c r="C42" s="423">
        <v>193.1</v>
      </c>
      <c r="D42" s="423"/>
      <c r="E42" s="423">
        <f t="shared" si="0"/>
        <v>193.1</v>
      </c>
    </row>
    <row r="43" spans="1:5" ht="15.65" x14ac:dyDescent="0.3">
      <c r="A43" s="50" t="s">
        <v>966</v>
      </c>
      <c r="B43" s="423"/>
      <c r="C43" s="423">
        <v>546.20000000000005</v>
      </c>
      <c r="D43" s="423"/>
      <c r="E43" s="423">
        <f t="shared" si="0"/>
        <v>546.20000000000005</v>
      </c>
    </row>
    <row r="44" spans="1:5" ht="15.65" x14ac:dyDescent="0.3">
      <c r="A44" s="422"/>
      <c r="B44" s="422">
        <f>SUM(B3:B43)</f>
        <v>1995.6999999999998</v>
      </c>
      <c r="C44" s="422">
        <f>SUM(C3:C43)</f>
        <v>25922.299999999992</v>
      </c>
      <c r="D44" s="422">
        <f>SUM(D3:D43)</f>
        <v>24609.5</v>
      </c>
      <c r="E44" s="422">
        <f t="shared" si="0"/>
        <v>52527.499999999993</v>
      </c>
    </row>
    <row r="46" spans="1:5" x14ac:dyDescent="0.3">
      <c r="A46" s="420" t="s">
        <v>1013</v>
      </c>
      <c r="B46" s="420" t="s">
        <v>1012</v>
      </c>
      <c r="C46" s="420">
        <v>504811.8</v>
      </c>
    </row>
    <row r="47" spans="1:5" x14ac:dyDescent="0.3">
      <c r="A47" s="421" t="s">
        <v>1011</v>
      </c>
      <c r="B47" s="420" t="s">
        <v>1010</v>
      </c>
      <c r="C47" s="420">
        <v>598480.9</v>
      </c>
    </row>
  </sheetData>
  <mergeCells count="5">
    <mergeCell ref="E1:E2"/>
    <mergeCell ref="A1:A2"/>
    <mergeCell ref="B1:B2"/>
    <mergeCell ref="C1:C2"/>
    <mergeCell ref="D1:D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A74"/>
  <sheetViews>
    <sheetView view="pageBreakPreview" zoomScale="55" zoomScaleNormal="55" zoomScaleSheetLayoutView="55" workbookViewId="0">
      <pane xSplit="2" ySplit="3" topLeftCell="C49" activePane="bottomRight" state="frozen"/>
      <selection pane="topRight" activeCell="C1" sqref="C1"/>
      <selection pane="bottomLeft" activeCell="A3" sqref="A3"/>
      <selection pane="bottomRight" activeCell="L54" sqref="L54"/>
    </sheetView>
  </sheetViews>
  <sheetFormatPr defaultColWidth="9.33203125" defaultRowHeight="40.4" customHeight="1" x14ac:dyDescent="0.5"/>
  <cols>
    <col min="1" max="1" width="11.6640625" style="343" customWidth="1"/>
    <col min="2" max="2" width="25.44140625" style="345" customWidth="1"/>
    <col min="3" max="3" width="55.5546875" style="344" customWidth="1"/>
    <col min="4" max="4" width="30.5546875" style="343" customWidth="1"/>
    <col min="5" max="5" width="13.33203125" style="343" customWidth="1"/>
    <col min="6" max="6" width="14.33203125" style="346" customWidth="1"/>
    <col min="7" max="7" width="9.33203125" style="348" customWidth="1"/>
    <col min="8" max="16384" width="9.33203125" style="346"/>
  </cols>
  <sheetData>
    <row r="1" spans="1:105" ht="40.4" customHeight="1" x14ac:dyDescent="0.5">
      <c r="A1" s="341" t="s">
        <v>662</v>
      </c>
      <c r="B1" s="342"/>
    </row>
    <row r="2" spans="1:105" s="349" customFormat="1" ht="40.4" customHeight="1" x14ac:dyDescent="0.3">
      <c r="A2" s="439" t="s">
        <v>976</v>
      </c>
      <c r="B2" s="445" t="s">
        <v>977</v>
      </c>
      <c r="C2" s="446"/>
      <c r="D2" s="439" t="s">
        <v>13</v>
      </c>
      <c r="E2" s="439" t="s">
        <v>22</v>
      </c>
      <c r="F2" s="441"/>
    </row>
    <row r="3" spans="1:105" s="349" customFormat="1" ht="84.7" customHeight="1" thickBot="1" x14ac:dyDescent="0.35">
      <c r="A3" s="444"/>
      <c r="B3" s="447"/>
      <c r="C3" s="448"/>
      <c r="D3" s="444"/>
      <c r="E3" s="444"/>
      <c r="F3" s="443"/>
    </row>
    <row r="4" spans="1:105" s="348" customFormat="1" ht="59.95" customHeight="1" x14ac:dyDescent="0.5">
      <c r="A4" s="382">
        <v>1</v>
      </c>
      <c r="B4" s="383" t="s">
        <v>563</v>
      </c>
      <c r="C4" s="384" t="s">
        <v>942</v>
      </c>
      <c r="D4" s="451" t="s">
        <v>817</v>
      </c>
      <c r="E4" s="391">
        <v>1</v>
      </c>
      <c r="F4" s="454">
        <f>SUM(E4:E13)</f>
        <v>10</v>
      </c>
      <c r="H4" s="346"/>
      <c r="I4" s="346"/>
      <c r="J4" s="346"/>
      <c r="K4" s="346"/>
      <c r="L4" s="346"/>
      <c r="M4" s="346"/>
      <c r="N4" s="346"/>
      <c r="O4" s="346"/>
      <c r="P4" s="346"/>
      <c r="Q4" s="346"/>
      <c r="R4" s="346"/>
      <c r="S4" s="346"/>
      <c r="T4" s="346"/>
      <c r="U4" s="346"/>
      <c r="V4" s="346"/>
      <c r="W4" s="346"/>
      <c r="X4" s="346"/>
      <c r="Y4" s="346"/>
      <c r="Z4" s="346"/>
      <c r="AA4" s="346"/>
      <c r="AB4" s="346"/>
      <c r="AC4" s="346"/>
      <c r="AD4" s="346"/>
      <c r="AE4" s="346"/>
      <c r="AF4" s="346"/>
      <c r="AG4" s="346"/>
      <c r="AH4" s="346"/>
      <c r="AI4" s="346"/>
      <c r="AJ4" s="346"/>
      <c r="AK4" s="346"/>
      <c r="AL4" s="346"/>
      <c r="AM4" s="346"/>
      <c r="AN4" s="346"/>
      <c r="AO4" s="346"/>
      <c r="AP4" s="346"/>
      <c r="AQ4" s="346"/>
      <c r="AR4" s="346"/>
      <c r="AS4" s="346"/>
      <c r="AT4" s="346"/>
      <c r="AU4" s="346"/>
      <c r="AV4" s="346"/>
      <c r="AW4" s="346"/>
      <c r="AX4" s="346"/>
      <c r="AY4" s="346"/>
      <c r="AZ4" s="346"/>
      <c r="BA4" s="346"/>
      <c r="BB4" s="346"/>
      <c r="BC4" s="346"/>
      <c r="BD4" s="346"/>
      <c r="BE4" s="346"/>
      <c r="BF4" s="346"/>
      <c r="BG4" s="346"/>
      <c r="BH4" s="346"/>
      <c r="BI4" s="346"/>
      <c r="BJ4" s="346"/>
      <c r="BK4" s="346"/>
      <c r="BL4" s="346"/>
      <c r="BM4" s="346"/>
      <c r="BN4" s="346"/>
      <c r="BO4" s="346"/>
      <c r="BP4" s="346"/>
      <c r="BQ4" s="346"/>
      <c r="BR4" s="346"/>
      <c r="BS4" s="346"/>
      <c r="BT4" s="346"/>
      <c r="BU4" s="346"/>
      <c r="BV4" s="346"/>
      <c r="BW4" s="346"/>
      <c r="BX4" s="346"/>
      <c r="BY4" s="346"/>
      <c r="BZ4" s="346"/>
      <c r="CA4" s="346"/>
      <c r="CB4" s="346"/>
      <c r="CC4" s="346"/>
      <c r="CD4" s="346"/>
      <c r="CE4" s="346"/>
      <c r="CF4" s="346"/>
      <c r="CG4" s="346"/>
      <c r="CH4" s="346"/>
      <c r="CI4" s="346"/>
      <c r="CJ4" s="346"/>
      <c r="CK4" s="346"/>
      <c r="CL4" s="346"/>
      <c r="CM4" s="346"/>
      <c r="CN4" s="346"/>
      <c r="CO4" s="346"/>
      <c r="CP4" s="346"/>
      <c r="CQ4" s="346"/>
      <c r="CR4" s="346"/>
      <c r="CS4" s="346"/>
      <c r="CT4" s="346"/>
      <c r="CU4" s="346"/>
      <c r="CV4" s="346"/>
      <c r="CW4" s="346"/>
      <c r="CX4" s="346"/>
      <c r="CY4" s="346"/>
      <c r="CZ4" s="346"/>
      <c r="DA4" s="346"/>
    </row>
    <row r="5" spans="1:105" s="348" customFormat="1" ht="59.95" customHeight="1" x14ac:dyDescent="0.5">
      <c r="A5" s="385">
        <v>2</v>
      </c>
      <c r="B5" s="360" t="s">
        <v>643</v>
      </c>
      <c r="C5" s="351" t="s">
        <v>948</v>
      </c>
      <c r="D5" s="452"/>
      <c r="E5" s="392">
        <v>1</v>
      </c>
      <c r="F5" s="455"/>
      <c r="H5" s="346"/>
      <c r="I5" s="346"/>
      <c r="J5" s="346"/>
      <c r="K5" s="346"/>
      <c r="L5" s="346"/>
      <c r="M5" s="346"/>
      <c r="N5" s="346"/>
      <c r="O5" s="346"/>
      <c r="P5" s="346"/>
      <c r="Q5" s="346"/>
      <c r="R5" s="346"/>
      <c r="S5" s="346"/>
      <c r="T5" s="346"/>
      <c r="U5" s="346"/>
      <c r="V5" s="346"/>
      <c r="W5" s="346"/>
      <c r="X5" s="346"/>
      <c r="Y5" s="346"/>
      <c r="Z5" s="346"/>
      <c r="AA5" s="346"/>
      <c r="AB5" s="346"/>
      <c r="AC5" s="346"/>
      <c r="AD5" s="346"/>
      <c r="AE5" s="346"/>
      <c r="AF5" s="346"/>
      <c r="AG5" s="346"/>
      <c r="AH5" s="346"/>
      <c r="AI5" s="346"/>
      <c r="AJ5" s="346"/>
      <c r="AK5" s="346"/>
      <c r="AL5" s="346"/>
      <c r="AM5" s="346"/>
      <c r="AN5" s="346"/>
      <c r="AO5" s="346"/>
      <c r="AP5" s="346"/>
      <c r="AQ5" s="346"/>
      <c r="AR5" s="346"/>
      <c r="AS5" s="346"/>
      <c r="AT5" s="346"/>
      <c r="AU5" s="346"/>
      <c r="AV5" s="346"/>
      <c r="AW5" s="346"/>
      <c r="AX5" s="346"/>
      <c r="AY5" s="346"/>
      <c r="AZ5" s="346"/>
      <c r="BA5" s="346"/>
      <c r="BB5" s="346"/>
      <c r="BC5" s="346"/>
      <c r="BD5" s="346"/>
      <c r="BE5" s="346"/>
      <c r="BF5" s="346"/>
      <c r="BG5" s="346"/>
      <c r="BH5" s="346"/>
      <c r="BI5" s="346"/>
      <c r="BJ5" s="346"/>
      <c r="BK5" s="346"/>
      <c r="BL5" s="346"/>
      <c r="BM5" s="346"/>
      <c r="BN5" s="346"/>
      <c r="BO5" s="346"/>
      <c r="BP5" s="346"/>
      <c r="BQ5" s="346"/>
      <c r="BR5" s="346"/>
      <c r="BS5" s="346"/>
      <c r="BT5" s="346"/>
      <c r="BU5" s="346"/>
      <c r="BV5" s="346"/>
      <c r="BW5" s="346"/>
      <c r="BX5" s="346"/>
      <c r="BY5" s="346"/>
      <c r="BZ5" s="346"/>
      <c r="CA5" s="346"/>
      <c r="CB5" s="346"/>
      <c r="CC5" s="346"/>
      <c r="CD5" s="346"/>
      <c r="CE5" s="346"/>
      <c r="CF5" s="346"/>
      <c r="CG5" s="346"/>
      <c r="CH5" s="346"/>
      <c r="CI5" s="346"/>
      <c r="CJ5" s="346"/>
      <c r="CK5" s="346"/>
      <c r="CL5" s="346"/>
      <c r="CM5" s="346"/>
      <c r="CN5" s="346"/>
      <c r="CO5" s="346"/>
      <c r="CP5" s="346"/>
      <c r="CQ5" s="346"/>
      <c r="CR5" s="346"/>
      <c r="CS5" s="346"/>
      <c r="CT5" s="346"/>
      <c r="CU5" s="346"/>
      <c r="CV5" s="346"/>
      <c r="CW5" s="346"/>
      <c r="CX5" s="346"/>
      <c r="CY5" s="346"/>
      <c r="CZ5" s="346"/>
      <c r="DA5" s="346"/>
    </row>
    <row r="6" spans="1:105" s="348" customFormat="1" ht="55.45" customHeight="1" x14ac:dyDescent="0.5">
      <c r="A6" s="385">
        <v>3</v>
      </c>
      <c r="B6" s="350" t="s">
        <v>647</v>
      </c>
      <c r="C6" s="351" t="s">
        <v>950</v>
      </c>
      <c r="D6" s="452"/>
      <c r="E6" s="392">
        <v>1</v>
      </c>
      <c r="F6" s="455"/>
      <c r="H6" s="346"/>
      <c r="I6" s="346"/>
      <c r="J6" s="346"/>
      <c r="K6" s="346"/>
      <c r="L6" s="346"/>
      <c r="M6" s="346"/>
      <c r="N6" s="346"/>
      <c r="O6" s="346"/>
      <c r="P6" s="346"/>
      <c r="Q6" s="346"/>
      <c r="R6" s="346"/>
      <c r="S6" s="346"/>
      <c r="T6" s="346"/>
      <c r="U6" s="346"/>
      <c r="V6" s="346"/>
      <c r="W6" s="346"/>
      <c r="X6" s="346"/>
      <c r="Y6" s="346"/>
      <c r="Z6" s="346"/>
      <c r="AA6" s="346"/>
      <c r="AB6" s="346"/>
      <c r="AC6" s="346"/>
      <c r="AD6" s="346"/>
      <c r="AE6" s="346"/>
      <c r="AF6" s="346"/>
      <c r="AG6" s="346"/>
      <c r="AH6" s="346"/>
      <c r="AI6" s="346"/>
      <c r="AJ6" s="346"/>
      <c r="AK6" s="346"/>
      <c r="AL6" s="346"/>
      <c r="AM6" s="346"/>
      <c r="AN6" s="346"/>
      <c r="AO6" s="346"/>
      <c r="AP6" s="346"/>
      <c r="AQ6" s="346"/>
      <c r="AR6" s="346"/>
      <c r="AS6" s="346"/>
      <c r="AT6" s="346"/>
      <c r="AU6" s="346"/>
      <c r="AV6" s="346"/>
      <c r="AW6" s="346"/>
      <c r="AX6" s="346"/>
      <c r="AY6" s="346"/>
      <c r="AZ6" s="346"/>
      <c r="BA6" s="346"/>
      <c r="BB6" s="346"/>
      <c r="BC6" s="346"/>
      <c r="BD6" s="346"/>
      <c r="BE6" s="346"/>
      <c r="BF6" s="346"/>
      <c r="BG6" s="346"/>
      <c r="BH6" s="346"/>
      <c r="BI6" s="346"/>
      <c r="BJ6" s="346"/>
      <c r="BK6" s="346"/>
      <c r="BL6" s="346"/>
      <c r="BM6" s="346"/>
      <c r="BN6" s="346"/>
      <c r="BO6" s="346"/>
      <c r="BP6" s="346"/>
      <c r="BQ6" s="346"/>
      <c r="BR6" s="346"/>
      <c r="BS6" s="346"/>
      <c r="BT6" s="346"/>
      <c r="BU6" s="346"/>
      <c r="BV6" s="346"/>
      <c r="BW6" s="346"/>
      <c r="BX6" s="346"/>
      <c r="BY6" s="346"/>
      <c r="BZ6" s="346"/>
      <c r="CA6" s="346"/>
      <c r="CB6" s="346"/>
      <c r="CC6" s="346"/>
      <c r="CD6" s="346"/>
      <c r="CE6" s="346"/>
      <c r="CF6" s="346"/>
      <c r="CG6" s="346"/>
      <c r="CH6" s="346"/>
      <c r="CI6" s="346"/>
      <c r="CJ6" s="346"/>
      <c r="CK6" s="346"/>
      <c r="CL6" s="346"/>
      <c r="CM6" s="346"/>
      <c r="CN6" s="346"/>
      <c r="CO6" s="346"/>
      <c r="CP6" s="346"/>
      <c r="CQ6" s="346"/>
      <c r="CR6" s="346"/>
      <c r="CS6" s="346"/>
      <c r="CT6" s="346"/>
      <c r="CU6" s="346"/>
      <c r="CV6" s="346"/>
      <c r="CW6" s="346"/>
      <c r="CX6" s="346"/>
      <c r="CY6" s="346"/>
      <c r="CZ6" s="346"/>
      <c r="DA6" s="346"/>
    </row>
    <row r="7" spans="1:105" s="348" customFormat="1" ht="49.3" customHeight="1" x14ac:dyDescent="0.5">
      <c r="A7" s="385">
        <v>4</v>
      </c>
      <c r="B7" s="350" t="s">
        <v>765</v>
      </c>
      <c r="C7" s="351" t="s">
        <v>953</v>
      </c>
      <c r="D7" s="452"/>
      <c r="E7" s="392">
        <v>1</v>
      </c>
      <c r="F7" s="455"/>
      <c r="H7" s="346"/>
      <c r="I7" s="346"/>
      <c r="J7" s="346"/>
      <c r="K7" s="346"/>
      <c r="L7" s="346"/>
      <c r="M7" s="346"/>
      <c r="N7" s="346"/>
      <c r="O7" s="346"/>
      <c r="P7" s="346"/>
      <c r="Q7" s="346"/>
      <c r="R7" s="346"/>
      <c r="S7" s="346"/>
      <c r="T7" s="346"/>
      <c r="U7" s="346"/>
      <c r="V7" s="346"/>
      <c r="W7" s="346"/>
      <c r="X7" s="346"/>
      <c r="Y7" s="346"/>
      <c r="Z7" s="346"/>
      <c r="AA7" s="346"/>
      <c r="AB7" s="346"/>
      <c r="AC7" s="346"/>
      <c r="AD7" s="346"/>
      <c r="AE7" s="346"/>
      <c r="AF7" s="346"/>
      <c r="AG7" s="346"/>
      <c r="AH7" s="346"/>
      <c r="AI7" s="346"/>
      <c r="AJ7" s="346"/>
      <c r="AK7" s="346"/>
      <c r="AL7" s="346"/>
      <c r="AM7" s="346"/>
      <c r="AN7" s="346"/>
      <c r="AO7" s="346"/>
      <c r="AP7" s="346"/>
      <c r="AQ7" s="346"/>
      <c r="AR7" s="346"/>
      <c r="AS7" s="346"/>
      <c r="AT7" s="346"/>
      <c r="AU7" s="346"/>
      <c r="AV7" s="346"/>
      <c r="AW7" s="346"/>
      <c r="AX7" s="346"/>
      <c r="AY7" s="346"/>
      <c r="AZ7" s="346"/>
      <c r="BA7" s="346"/>
      <c r="BB7" s="346"/>
      <c r="BC7" s="346"/>
      <c r="BD7" s="346"/>
      <c r="BE7" s="346"/>
      <c r="BF7" s="346"/>
      <c r="BG7" s="346"/>
      <c r="BH7" s="346"/>
      <c r="BI7" s="346"/>
      <c r="BJ7" s="346"/>
      <c r="BK7" s="346"/>
      <c r="BL7" s="346"/>
      <c r="BM7" s="346"/>
      <c r="BN7" s="346"/>
      <c r="BO7" s="346"/>
      <c r="BP7" s="346"/>
      <c r="BQ7" s="346"/>
      <c r="BR7" s="346"/>
      <c r="BS7" s="346"/>
      <c r="BT7" s="346"/>
      <c r="BU7" s="346"/>
      <c r="BV7" s="346"/>
      <c r="BW7" s="346"/>
      <c r="BX7" s="346"/>
      <c r="BY7" s="346"/>
      <c r="BZ7" s="346"/>
      <c r="CA7" s="346"/>
      <c r="CB7" s="346"/>
      <c r="CC7" s="346"/>
      <c r="CD7" s="346"/>
      <c r="CE7" s="346"/>
      <c r="CF7" s="346"/>
      <c r="CG7" s="346"/>
      <c r="CH7" s="346"/>
      <c r="CI7" s="346"/>
      <c r="CJ7" s="346"/>
      <c r="CK7" s="346"/>
      <c r="CL7" s="346"/>
      <c r="CM7" s="346"/>
      <c r="CN7" s="346"/>
      <c r="CO7" s="346"/>
      <c r="CP7" s="346"/>
      <c r="CQ7" s="346"/>
      <c r="CR7" s="346"/>
      <c r="CS7" s="346"/>
      <c r="CT7" s="346"/>
      <c r="CU7" s="346"/>
      <c r="CV7" s="346"/>
      <c r="CW7" s="346"/>
      <c r="CX7" s="346"/>
      <c r="CY7" s="346"/>
      <c r="CZ7" s="346"/>
      <c r="DA7" s="346"/>
    </row>
    <row r="8" spans="1:105" s="348" customFormat="1" ht="51.05" customHeight="1" x14ac:dyDescent="0.5">
      <c r="A8" s="385">
        <v>5</v>
      </c>
      <c r="B8" s="350" t="s">
        <v>773</v>
      </c>
      <c r="C8" s="351" t="s">
        <v>955</v>
      </c>
      <c r="D8" s="452"/>
      <c r="E8" s="392">
        <v>1</v>
      </c>
      <c r="F8" s="455"/>
      <c r="H8" s="346"/>
      <c r="I8" s="346"/>
      <c r="J8" s="346"/>
      <c r="K8" s="346"/>
      <c r="L8" s="346"/>
      <c r="M8" s="346"/>
      <c r="N8" s="346"/>
      <c r="O8" s="346"/>
      <c r="P8" s="346"/>
      <c r="Q8" s="346"/>
      <c r="R8" s="346"/>
      <c r="S8" s="346"/>
      <c r="T8" s="346"/>
      <c r="U8" s="346"/>
      <c r="V8" s="346"/>
      <c r="W8" s="346"/>
      <c r="X8" s="346"/>
      <c r="Y8" s="346"/>
      <c r="Z8" s="346"/>
      <c r="AA8" s="346"/>
      <c r="AB8" s="346"/>
      <c r="AC8" s="346"/>
      <c r="AD8" s="346"/>
      <c r="AE8" s="346"/>
      <c r="AF8" s="346"/>
      <c r="AG8" s="346"/>
      <c r="AH8" s="346"/>
      <c r="AI8" s="346"/>
      <c r="AJ8" s="346"/>
      <c r="AK8" s="346"/>
      <c r="AL8" s="346"/>
      <c r="AM8" s="346"/>
      <c r="AN8" s="346"/>
      <c r="AO8" s="346"/>
      <c r="AP8" s="346"/>
      <c r="AQ8" s="346"/>
      <c r="AR8" s="346"/>
      <c r="AS8" s="346"/>
      <c r="AT8" s="346"/>
      <c r="AU8" s="346"/>
      <c r="AV8" s="346"/>
      <c r="AW8" s="346"/>
      <c r="AX8" s="346"/>
      <c r="AY8" s="346"/>
      <c r="AZ8" s="346"/>
      <c r="BA8" s="346"/>
      <c r="BB8" s="346"/>
      <c r="BC8" s="346"/>
      <c r="BD8" s="346"/>
      <c r="BE8" s="346"/>
      <c r="BF8" s="346"/>
      <c r="BG8" s="346"/>
      <c r="BH8" s="346"/>
      <c r="BI8" s="346"/>
      <c r="BJ8" s="346"/>
      <c r="BK8" s="346"/>
      <c r="BL8" s="346"/>
      <c r="BM8" s="346"/>
      <c r="BN8" s="346"/>
      <c r="BO8" s="346"/>
      <c r="BP8" s="346"/>
      <c r="BQ8" s="346"/>
      <c r="BR8" s="346"/>
      <c r="BS8" s="346"/>
      <c r="BT8" s="346"/>
      <c r="BU8" s="346"/>
      <c r="BV8" s="346"/>
      <c r="BW8" s="346"/>
      <c r="BX8" s="346"/>
      <c r="BY8" s="346"/>
      <c r="BZ8" s="346"/>
      <c r="CA8" s="346"/>
      <c r="CB8" s="346"/>
      <c r="CC8" s="346"/>
      <c r="CD8" s="346"/>
      <c r="CE8" s="346"/>
      <c r="CF8" s="346"/>
      <c r="CG8" s="346"/>
      <c r="CH8" s="346"/>
      <c r="CI8" s="346"/>
      <c r="CJ8" s="346"/>
      <c r="CK8" s="346"/>
      <c r="CL8" s="346"/>
      <c r="CM8" s="346"/>
      <c r="CN8" s="346"/>
      <c r="CO8" s="346"/>
      <c r="CP8" s="346"/>
      <c r="CQ8" s="346"/>
      <c r="CR8" s="346"/>
      <c r="CS8" s="346"/>
      <c r="CT8" s="346"/>
      <c r="CU8" s="346"/>
      <c r="CV8" s="346"/>
      <c r="CW8" s="346"/>
      <c r="CX8" s="346"/>
      <c r="CY8" s="346"/>
      <c r="CZ8" s="346"/>
      <c r="DA8" s="346"/>
    </row>
    <row r="9" spans="1:105" s="348" customFormat="1" ht="48.05" customHeight="1" x14ac:dyDescent="0.5">
      <c r="A9" s="385">
        <v>6</v>
      </c>
      <c r="B9" s="350" t="s">
        <v>822</v>
      </c>
      <c r="C9" s="351" t="s">
        <v>863</v>
      </c>
      <c r="D9" s="452"/>
      <c r="E9" s="392">
        <v>1</v>
      </c>
      <c r="F9" s="455"/>
      <c r="H9" s="346"/>
      <c r="I9" s="346"/>
      <c r="J9" s="346"/>
      <c r="K9" s="346"/>
      <c r="L9" s="346"/>
      <c r="M9" s="346"/>
      <c r="N9" s="346"/>
      <c r="O9" s="346"/>
      <c r="P9" s="346"/>
      <c r="Q9" s="346"/>
      <c r="R9" s="346"/>
      <c r="S9" s="346"/>
      <c r="T9" s="346"/>
      <c r="U9" s="346"/>
      <c r="V9" s="346"/>
      <c r="W9" s="346"/>
      <c r="X9" s="346"/>
      <c r="Y9" s="346"/>
      <c r="Z9" s="346"/>
      <c r="AA9" s="346"/>
      <c r="AB9" s="346"/>
      <c r="AC9" s="346"/>
      <c r="AD9" s="346"/>
      <c r="AE9" s="346"/>
      <c r="AF9" s="346"/>
      <c r="AG9" s="346"/>
      <c r="AH9" s="346"/>
      <c r="AI9" s="346"/>
      <c r="AJ9" s="346"/>
      <c r="AK9" s="346"/>
      <c r="AL9" s="346"/>
      <c r="AM9" s="346"/>
      <c r="AN9" s="346"/>
      <c r="AO9" s="346"/>
      <c r="AP9" s="346"/>
      <c r="AQ9" s="346"/>
      <c r="AR9" s="346"/>
      <c r="AS9" s="346"/>
      <c r="AT9" s="346"/>
      <c r="AU9" s="346"/>
      <c r="AV9" s="346"/>
      <c r="AW9" s="346"/>
      <c r="AX9" s="346"/>
      <c r="AY9" s="346"/>
      <c r="AZ9" s="346"/>
      <c r="BA9" s="346"/>
      <c r="BB9" s="346"/>
      <c r="BC9" s="346"/>
      <c r="BD9" s="346"/>
      <c r="BE9" s="346"/>
      <c r="BF9" s="346"/>
      <c r="BG9" s="346"/>
      <c r="BH9" s="346"/>
      <c r="BI9" s="346"/>
      <c r="BJ9" s="346"/>
      <c r="BK9" s="346"/>
      <c r="BL9" s="346"/>
      <c r="BM9" s="346"/>
      <c r="BN9" s="346"/>
      <c r="BO9" s="346"/>
      <c r="BP9" s="346"/>
      <c r="BQ9" s="346"/>
      <c r="BR9" s="346"/>
      <c r="BS9" s="346"/>
      <c r="BT9" s="346"/>
      <c r="BU9" s="346"/>
      <c r="BV9" s="346"/>
      <c r="BW9" s="346"/>
      <c r="BX9" s="346"/>
      <c r="BY9" s="346"/>
      <c r="BZ9" s="346"/>
      <c r="CA9" s="346"/>
      <c r="CB9" s="346"/>
      <c r="CC9" s="346"/>
      <c r="CD9" s="346"/>
      <c r="CE9" s="346"/>
      <c r="CF9" s="346"/>
      <c r="CG9" s="346"/>
      <c r="CH9" s="346"/>
      <c r="CI9" s="346"/>
      <c r="CJ9" s="346"/>
      <c r="CK9" s="346"/>
      <c r="CL9" s="346"/>
      <c r="CM9" s="346"/>
      <c r="CN9" s="346"/>
      <c r="CO9" s="346"/>
      <c r="CP9" s="346"/>
      <c r="CQ9" s="346"/>
      <c r="CR9" s="346"/>
      <c r="CS9" s="346"/>
      <c r="CT9" s="346"/>
      <c r="CU9" s="346"/>
      <c r="CV9" s="346"/>
      <c r="CW9" s="346"/>
      <c r="CX9" s="346"/>
      <c r="CY9" s="346"/>
      <c r="CZ9" s="346"/>
      <c r="DA9" s="346"/>
    </row>
    <row r="10" spans="1:105" s="348" customFormat="1" ht="52.3" customHeight="1" x14ac:dyDescent="0.5">
      <c r="A10" s="385">
        <v>7</v>
      </c>
      <c r="B10" s="350" t="s">
        <v>650</v>
      </c>
      <c r="C10" s="351" t="s">
        <v>892</v>
      </c>
      <c r="D10" s="452"/>
      <c r="E10" s="392">
        <v>1</v>
      </c>
      <c r="F10" s="455"/>
      <c r="H10" s="346"/>
      <c r="I10" s="346"/>
      <c r="J10" s="346"/>
      <c r="K10" s="346"/>
      <c r="L10" s="346"/>
      <c r="M10" s="346"/>
      <c r="N10" s="346"/>
      <c r="O10" s="346"/>
      <c r="P10" s="346"/>
      <c r="Q10" s="346"/>
      <c r="R10" s="346"/>
      <c r="S10" s="346"/>
      <c r="T10" s="346"/>
      <c r="U10" s="346"/>
      <c r="V10" s="346"/>
      <c r="W10" s="346"/>
      <c r="X10" s="346"/>
      <c r="Y10" s="346"/>
      <c r="Z10" s="346"/>
      <c r="AA10" s="346"/>
      <c r="AB10" s="346"/>
      <c r="AC10" s="346"/>
      <c r="AD10" s="346"/>
      <c r="AE10" s="346"/>
      <c r="AF10" s="346"/>
      <c r="AG10" s="346"/>
      <c r="AH10" s="346"/>
      <c r="AI10" s="346"/>
      <c r="AJ10" s="346"/>
      <c r="AK10" s="346"/>
      <c r="AL10" s="346"/>
      <c r="AM10" s="346"/>
      <c r="AN10" s="346"/>
      <c r="AO10" s="346"/>
      <c r="AP10" s="346"/>
      <c r="AQ10" s="346"/>
      <c r="AR10" s="346"/>
      <c r="AS10" s="346"/>
      <c r="AT10" s="346"/>
      <c r="AU10" s="346"/>
      <c r="AV10" s="346"/>
      <c r="AW10" s="346"/>
      <c r="AX10" s="346"/>
      <c r="AY10" s="346"/>
      <c r="AZ10" s="346"/>
      <c r="BA10" s="346"/>
      <c r="BB10" s="346"/>
      <c r="BC10" s="346"/>
      <c r="BD10" s="346"/>
      <c r="BE10" s="346"/>
      <c r="BF10" s="346"/>
      <c r="BG10" s="346"/>
      <c r="BH10" s="346"/>
      <c r="BI10" s="346"/>
      <c r="BJ10" s="346"/>
      <c r="BK10" s="346"/>
      <c r="BL10" s="346"/>
      <c r="BM10" s="346"/>
      <c r="BN10" s="346"/>
      <c r="BO10" s="346"/>
      <c r="BP10" s="346"/>
      <c r="BQ10" s="346"/>
      <c r="BR10" s="346"/>
      <c r="BS10" s="346"/>
      <c r="BT10" s="346"/>
      <c r="BU10" s="346"/>
      <c r="BV10" s="346"/>
      <c r="BW10" s="346"/>
      <c r="BX10" s="346"/>
      <c r="BY10" s="346"/>
      <c r="BZ10" s="346"/>
      <c r="CA10" s="346"/>
      <c r="CB10" s="346"/>
      <c r="CC10" s="346"/>
      <c r="CD10" s="346"/>
      <c r="CE10" s="346"/>
      <c r="CF10" s="346"/>
      <c r="CG10" s="346"/>
      <c r="CH10" s="346"/>
      <c r="CI10" s="346"/>
      <c r="CJ10" s="346"/>
      <c r="CK10" s="346"/>
      <c r="CL10" s="346"/>
      <c r="CM10" s="346"/>
      <c r="CN10" s="346"/>
      <c r="CO10" s="346"/>
      <c r="CP10" s="346"/>
      <c r="CQ10" s="346"/>
      <c r="CR10" s="346"/>
      <c r="CS10" s="346"/>
      <c r="CT10" s="346"/>
      <c r="CU10" s="346"/>
      <c r="CV10" s="346"/>
      <c r="CW10" s="346"/>
      <c r="CX10" s="346"/>
      <c r="CY10" s="346"/>
      <c r="CZ10" s="346"/>
      <c r="DA10" s="346"/>
    </row>
    <row r="11" spans="1:105" s="348" customFormat="1" ht="50.1" customHeight="1" x14ac:dyDescent="0.5">
      <c r="A11" s="385">
        <v>8</v>
      </c>
      <c r="B11" s="350" t="s">
        <v>649</v>
      </c>
      <c r="C11" s="351" t="s">
        <v>893</v>
      </c>
      <c r="D11" s="452"/>
      <c r="E11" s="392">
        <v>1</v>
      </c>
      <c r="F11" s="455"/>
      <c r="H11" s="346"/>
      <c r="I11" s="346"/>
      <c r="J11" s="346"/>
      <c r="K11" s="346"/>
      <c r="L11" s="346"/>
      <c r="M11" s="346"/>
      <c r="N11" s="346"/>
      <c r="O11" s="346"/>
      <c r="P11" s="346"/>
      <c r="Q11" s="346"/>
      <c r="R11" s="346"/>
      <c r="S11" s="346"/>
      <c r="T11" s="346"/>
      <c r="U11" s="346"/>
      <c r="V11" s="346"/>
      <c r="W11" s="346"/>
      <c r="X11" s="346"/>
      <c r="Y11" s="346"/>
      <c r="Z11" s="346"/>
      <c r="AA11" s="346"/>
      <c r="AB11" s="346"/>
      <c r="AC11" s="346"/>
      <c r="AD11" s="346"/>
      <c r="AE11" s="346"/>
      <c r="AF11" s="346"/>
      <c r="AG11" s="346"/>
      <c r="AH11" s="346"/>
      <c r="AI11" s="346"/>
      <c r="AJ11" s="346"/>
      <c r="AK11" s="346"/>
      <c r="AL11" s="346"/>
      <c r="AM11" s="346"/>
      <c r="AN11" s="346"/>
      <c r="AO11" s="346"/>
      <c r="AP11" s="346"/>
      <c r="AQ11" s="346"/>
      <c r="AR11" s="346"/>
      <c r="AS11" s="346"/>
      <c r="AT11" s="346"/>
      <c r="AU11" s="346"/>
      <c r="AV11" s="346"/>
      <c r="AW11" s="346"/>
      <c r="AX11" s="346"/>
      <c r="AY11" s="346"/>
      <c r="AZ11" s="346"/>
      <c r="BA11" s="346"/>
      <c r="BB11" s="346"/>
      <c r="BC11" s="346"/>
      <c r="BD11" s="346"/>
      <c r="BE11" s="346"/>
      <c r="BF11" s="346"/>
      <c r="BG11" s="346"/>
      <c r="BH11" s="346"/>
      <c r="BI11" s="346"/>
      <c r="BJ11" s="346"/>
      <c r="BK11" s="346"/>
      <c r="BL11" s="346"/>
      <c r="BM11" s="346"/>
      <c r="BN11" s="346"/>
      <c r="BO11" s="346"/>
      <c r="BP11" s="346"/>
      <c r="BQ11" s="346"/>
      <c r="BR11" s="346"/>
      <c r="BS11" s="346"/>
      <c r="BT11" s="346"/>
      <c r="BU11" s="346"/>
      <c r="BV11" s="346"/>
      <c r="BW11" s="346"/>
      <c r="BX11" s="346"/>
      <c r="BY11" s="346"/>
      <c r="BZ11" s="346"/>
      <c r="CA11" s="346"/>
      <c r="CB11" s="346"/>
      <c r="CC11" s="346"/>
      <c r="CD11" s="346"/>
      <c r="CE11" s="346"/>
      <c r="CF11" s="346"/>
      <c r="CG11" s="346"/>
      <c r="CH11" s="346"/>
      <c r="CI11" s="346"/>
      <c r="CJ11" s="346"/>
      <c r="CK11" s="346"/>
      <c r="CL11" s="346"/>
      <c r="CM11" s="346"/>
      <c r="CN11" s="346"/>
      <c r="CO11" s="346"/>
      <c r="CP11" s="346"/>
      <c r="CQ11" s="346"/>
      <c r="CR11" s="346"/>
      <c r="CS11" s="346"/>
      <c r="CT11" s="346"/>
      <c r="CU11" s="346"/>
      <c r="CV11" s="346"/>
      <c r="CW11" s="346"/>
      <c r="CX11" s="346"/>
      <c r="CY11" s="346"/>
      <c r="CZ11" s="346"/>
      <c r="DA11" s="346"/>
    </row>
    <row r="12" spans="1:105" s="348" customFormat="1" ht="49.3" customHeight="1" x14ac:dyDescent="0.5">
      <c r="A12" s="385">
        <v>9</v>
      </c>
      <c r="B12" s="350" t="s">
        <v>648</v>
      </c>
      <c r="C12" s="351" t="s">
        <v>970</v>
      </c>
      <c r="D12" s="452"/>
      <c r="E12" s="392">
        <v>1</v>
      </c>
      <c r="F12" s="455"/>
      <c r="H12" s="346"/>
      <c r="I12" s="346"/>
      <c r="J12" s="346"/>
      <c r="K12" s="346"/>
      <c r="L12" s="346"/>
      <c r="M12" s="346"/>
      <c r="N12" s="346"/>
      <c r="O12" s="346"/>
      <c r="P12" s="346"/>
      <c r="Q12" s="346"/>
      <c r="R12" s="346"/>
      <c r="S12" s="346"/>
      <c r="T12" s="346"/>
      <c r="U12" s="346"/>
      <c r="V12" s="346"/>
      <c r="W12" s="346"/>
      <c r="X12" s="346"/>
      <c r="Y12" s="346"/>
      <c r="Z12" s="346"/>
      <c r="AA12" s="346"/>
      <c r="AB12" s="346"/>
      <c r="AC12" s="346"/>
      <c r="AD12" s="346"/>
      <c r="AE12" s="346"/>
      <c r="AF12" s="346"/>
      <c r="AG12" s="346"/>
      <c r="AH12" s="346"/>
      <c r="AI12" s="346"/>
      <c r="AJ12" s="346"/>
      <c r="AK12" s="346"/>
      <c r="AL12" s="346"/>
      <c r="AM12" s="346"/>
      <c r="AN12" s="346"/>
      <c r="AO12" s="346"/>
      <c r="AP12" s="346"/>
      <c r="AQ12" s="346"/>
      <c r="AR12" s="346"/>
      <c r="AS12" s="346"/>
      <c r="AT12" s="346"/>
      <c r="AU12" s="346"/>
      <c r="AV12" s="346"/>
      <c r="AW12" s="346"/>
      <c r="AX12" s="346"/>
      <c r="AY12" s="346"/>
      <c r="AZ12" s="346"/>
      <c r="BA12" s="346"/>
      <c r="BB12" s="346"/>
      <c r="BC12" s="346"/>
      <c r="BD12" s="346"/>
      <c r="BE12" s="346"/>
      <c r="BF12" s="346"/>
      <c r="BG12" s="346"/>
      <c r="BH12" s="346"/>
      <c r="BI12" s="346"/>
      <c r="BJ12" s="346"/>
      <c r="BK12" s="346"/>
      <c r="BL12" s="346"/>
      <c r="BM12" s="346"/>
      <c r="BN12" s="346"/>
      <c r="BO12" s="346"/>
      <c r="BP12" s="346"/>
      <c r="BQ12" s="346"/>
      <c r="BR12" s="346"/>
      <c r="BS12" s="346"/>
      <c r="BT12" s="346"/>
      <c r="BU12" s="346"/>
      <c r="BV12" s="346"/>
      <c r="BW12" s="346"/>
      <c r="BX12" s="346"/>
      <c r="BY12" s="346"/>
      <c r="BZ12" s="346"/>
      <c r="CA12" s="346"/>
      <c r="CB12" s="346"/>
      <c r="CC12" s="346"/>
      <c r="CD12" s="346"/>
      <c r="CE12" s="346"/>
      <c r="CF12" s="346"/>
      <c r="CG12" s="346"/>
      <c r="CH12" s="346"/>
      <c r="CI12" s="346"/>
      <c r="CJ12" s="346"/>
      <c r="CK12" s="346"/>
      <c r="CL12" s="346"/>
      <c r="CM12" s="346"/>
      <c r="CN12" s="346"/>
      <c r="CO12" s="346"/>
      <c r="CP12" s="346"/>
      <c r="CQ12" s="346"/>
      <c r="CR12" s="346"/>
      <c r="CS12" s="346"/>
      <c r="CT12" s="346"/>
      <c r="CU12" s="346"/>
      <c r="CV12" s="346"/>
      <c r="CW12" s="346"/>
      <c r="CX12" s="346"/>
      <c r="CY12" s="346"/>
      <c r="CZ12" s="346"/>
      <c r="DA12" s="346"/>
    </row>
    <row r="13" spans="1:105" s="348" customFormat="1" ht="49.3" customHeight="1" thickBot="1" x14ac:dyDescent="0.55000000000000004">
      <c r="A13" s="386">
        <v>10</v>
      </c>
      <c r="B13" s="387" t="s">
        <v>910</v>
      </c>
      <c r="C13" s="388" t="s">
        <v>962</v>
      </c>
      <c r="D13" s="453"/>
      <c r="E13" s="393">
        <v>1</v>
      </c>
      <c r="F13" s="456"/>
      <c r="H13" s="346"/>
      <c r="I13" s="346"/>
      <c r="J13" s="346"/>
      <c r="K13" s="346"/>
      <c r="L13" s="346"/>
      <c r="M13" s="346"/>
      <c r="N13" s="346"/>
      <c r="O13" s="346"/>
      <c r="P13" s="346"/>
      <c r="Q13" s="346"/>
      <c r="R13" s="346"/>
      <c r="S13" s="346"/>
      <c r="T13" s="346"/>
      <c r="U13" s="346"/>
      <c r="V13" s="346"/>
      <c r="W13" s="346"/>
      <c r="X13" s="346"/>
      <c r="Y13" s="346"/>
      <c r="Z13" s="346"/>
      <c r="AA13" s="346"/>
      <c r="AB13" s="346"/>
      <c r="AC13" s="346"/>
      <c r="AD13" s="346"/>
      <c r="AE13" s="346"/>
      <c r="AF13" s="346"/>
      <c r="AG13" s="346"/>
      <c r="AH13" s="346"/>
      <c r="AI13" s="346"/>
      <c r="AJ13" s="346"/>
      <c r="AK13" s="346"/>
      <c r="AL13" s="346"/>
      <c r="AM13" s="346"/>
      <c r="AN13" s="346"/>
      <c r="AO13" s="346"/>
      <c r="AP13" s="346"/>
      <c r="AQ13" s="346"/>
      <c r="AR13" s="346"/>
      <c r="AS13" s="346"/>
      <c r="AT13" s="346"/>
      <c r="AU13" s="346"/>
      <c r="AV13" s="346"/>
      <c r="AW13" s="346"/>
      <c r="AX13" s="346"/>
      <c r="AY13" s="346"/>
      <c r="AZ13" s="346"/>
      <c r="BA13" s="346"/>
      <c r="BB13" s="346"/>
      <c r="BC13" s="346"/>
      <c r="BD13" s="346"/>
      <c r="BE13" s="346"/>
      <c r="BF13" s="346"/>
      <c r="BG13" s="346"/>
      <c r="BH13" s="346"/>
      <c r="BI13" s="346"/>
      <c r="BJ13" s="346"/>
      <c r="BK13" s="346"/>
      <c r="BL13" s="346"/>
      <c r="BM13" s="346"/>
      <c r="BN13" s="346"/>
      <c r="BO13" s="346"/>
      <c r="BP13" s="346"/>
      <c r="BQ13" s="346"/>
      <c r="BR13" s="346"/>
      <c r="BS13" s="346"/>
      <c r="BT13" s="346"/>
      <c r="BU13" s="346"/>
      <c r="BV13" s="346"/>
      <c r="BW13" s="346"/>
      <c r="BX13" s="346"/>
      <c r="BY13" s="346"/>
      <c r="BZ13" s="346"/>
      <c r="CA13" s="346"/>
      <c r="CB13" s="346"/>
      <c r="CC13" s="346"/>
      <c r="CD13" s="346"/>
      <c r="CE13" s="346"/>
      <c r="CF13" s="346"/>
      <c r="CG13" s="346"/>
      <c r="CH13" s="346"/>
      <c r="CI13" s="346"/>
      <c r="CJ13" s="346"/>
      <c r="CK13" s="346"/>
      <c r="CL13" s="346"/>
      <c r="CM13" s="346"/>
      <c r="CN13" s="346"/>
      <c r="CO13" s="346"/>
      <c r="CP13" s="346"/>
      <c r="CQ13" s="346"/>
      <c r="CR13" s="346"/>
      <c r="CS13" s="346"/>
      <c r="CT13" s="346"/>
      <c r="CU13" s="346"/>
      <c r="CV13" s="346"/>
      <c r="CW13" s="346"/>
      <c r="CX13" s="346"/>
      <c r="CY13" s="346"/>
      <c r="CZ13" s="346"/>
      <c r="DA13" s="346"/>
    </row>
    <row r="14" spans="1:105" s="348" customFormat="1" ht="49.3" customHeight="1" x14ac:dyDescent="0.5">
      <c r="A14" s="363">
        <v>1</v>
      </c>
      <c r="B14" s="380" t="s">
        <v>907</v>
      </c>
      <c r="C14" s="381" t="s">
        <v>916</v>
      </c>
      <c r="D14" s="452" t="s">
        <v>464</v>
      </c>
      <c r="E14" s="394">
        <v>8</v>
      </c>
      <c r="F14" s="450">
        <f>SUM(E14:E16)</f>
        <v>14</v>
      </c>
      <c r="H14" s="346"/>
      <c r="I14" s="346"/>
      <c r="J14" s="346"/>
      <c r="K14" s="346"/>
      <c r="L14" s="346"/>
      <c r="M14" s="346"/>
      <c r="N14" s="346"/>
      <c r="O14" s="346"/>
      <c r="P14" s="346"/>
      <c r="Q14" s="346"/>
      <c r="R14" s="346"/>
      <c r="S14" s="346"/>
      <c r="T14" s="346"/>
      <c r="U14" s="346"/>
      <c r="V14" s="346"/>
      <c r="W14" s="346"/>
      <c r="X14" s="346"/>
      <c r="Y14" s="346"/>
      <c r="Z14" s="346"/>
      <c r="AA14" s="346"/>
      <c r="AB14" s="346"/>
      <c r="AC14" s="346"/>
      <c r="AD14" s="346"/>
      <c r="AE14" s="346"/>
      <c r="AF14" s="346"/>
      <c r="AG14" s="346"/>
      <c r="AH14" s="346"/>
      <c r="AI14" s="346"/>
      <c r="AJ14" s="346"/>
      <c r="AK14" s="346"/>
      <c r="AL14" s="346"/>
      <c r="AM14" s="346"/>
      <c r="AN14" s="346"/>
      <c r="AO14" s="346"/>
      <c r="AP14" s="346"/>
      <c r="AQ14" s="346"/>
      <c r="AR14" s="346"/>
      <c r="AS14" s="346"/>
      <c r="AT14" s="346"/>
      <c r="AU14" s="346"/>
      <c r="AV14" s="346"/>
      <c r="AW14" s="346"/>
      <c r="AX14" s="346"/>
      <c r="AY14" s="346"/>
      <c r="AZ14" s="346"/>
      <c r="BA14" s="346"/>
      <c r="BB14" s="346"/>
      <c r="BC14" s="346"/>
      <c r="BD14" s="346"/>
      <c r="BE14" s="346"/>
      <c r="BF14" s="346"/>
      <c r="BG14" s="346"/>
      <c r="BH14" s="346"/>
      <c r="BI14" s="346"/>
      <c r="BJ14" s="346"/>
      <c r="BK14" s="346"/>
      <c r="BL14" s="346"/>
      <c r="BM14" s="346"/>
      <c r="BN14" s="346"/>
      <c r="BO14" s="346"/>
      <c r="BP14" s="346"/>
      <c r="BQ14" s="346"/>
      <c r="BR14" s="346"/>
      <c r="BS14" s="346"/>
      <c r="BT14" s="346"/>
      <c r="BU14" s="346"/>
      <c r="BV14" s="346"/>
      <c r="BW14" s="346"/>
      <c r="BX14" s="346"/>
      <c r="BY14" s="346"/>
      <c r="BZ14" s="346"/>
      <c r="CA14" s="346"/>
      <c r="CB14" s="346"/>
      <c r="CC14" s="346"/>
      <c r="CD14" s="346"/>
      <c r="CE14" s="346"/>
      <c r="CF14" s="346"/>
      <c r="CG14" s="346"/>
      <c r="CH14" s="346"/>
      <c r="CI14" s="346"/>
      <c r="CJ14" s="346"/>
      <c r="CK14" s="346"/>
      <c r="CL14" s="346"/>
      <c r="CM14" s="346"/>
      <c r="CN14" s="346"/>
      <c r="CO14" s="346"/>
      <c r="CP14" s="346"/>
      <c r="CQ14" s="346"/>
      <c r="CR14" s="346"/>
      <c r="CS14" s="346"/>
      <c r="CT14" s="346"/>
      <c r="CU14" s="346"/>
      <c r="CV14" s="346"/>
      <c r="CW14" s="346"/>
      <c r="CX14" s="346"/>
      <c r="CY14" s="346"/>
      <c r="CZ14" s="346"/>
      <c r="DA14" s="346"/>
    </row>
    <row r="15" spans="1:105" s="348" customFormat="1" ht="61.4" customHeight="1" x14ac:dyDescent="0.5">
      <c r="A15" s="331">
        <v>2</v>
      </c>
      <c r="B15" s="350" t="s">
        <v>908</v>
      </c>
      <c r="C15" s="351" t="s">
        <v>917</v>
      </c>
      <c r="D15" s="452"/>
      <c r="E15" s="392">
        <v>4</v>
      </c>
      <c r="F15" s="450"/>
      <c r="H15" s="346"/>
      <c r="I15" s="346"/>
      <c r="J15" s="346"/>
      <c r="K15" s="346"/>
      <c r="L15" s="346"/>
      <c r="M15" s="346"/>
      <c r="N15" s="346"/>
      <c r="O15" s="346"/>
      <c r="P15" s="346"/>
      <c r="Q15" s="346"/>
      <c r="R15" s="346"/>
      <c r="S15" s="346"/>
      <c r="T15" s="346"/>
      <c r="U15" s="346"/>
      <c r="V15" s="346"/>
      <c r="W15" s="346"/>
      <c r="X15" s="346"/>
      <c r="Y15" s="346"/>
      <c r="Z15" s="346"/>
      <c r="AA15" s="346"/>
      <c r="AB15" s="346"/>
      <c r="AC15" s="346"/>
      <c r="AD15" s="346"/>
      <c r="AE15" s="346"/>
      <c r="AF15" s="346"/>
      <c r="AG15" s="346"/>
      <c r="AH15" s="346"/>
      <c r="AI15" s="346"/>
      <c r="AJ15" s="346"/>
      <c r="AK15" s="346"/>
      <c r="AL15" s="346"/>
      <c r="AM15" s="346"/>
      <c r="AN15" s="346"/>
      <c r="AO15" s="346"/>
      <c r="AP15" s="346"/>
      <c r="AQ15" s="346"/>
      <c r="AR15" s="346"/>
      <c r="AS15" s="346"/>
      <c r="AT15" s="346"/>
      <c r="AU15" s="346"/>
      <c r="AV15" s="346"/>
      <c r="AW15" s="346"/>
      <c r="AX15" s="346"/>
      <c r="AY15" s="346"/>
      <c r="AZ15" s="346"/>
      <c r="BA15" s="346"/>
      <c r="BB15" s="346"/>
      <c r="BC15" s="346"/>
      <c r="BD15" s="346"/>
      <c r="BE15" s="346"/>
      <c r="BF15" s="346"/>
      <c r="BG15" s="346"/>
      <c r="BH15" s="346"/>
      <c r="BI15" s="346"/>
      <c r="BJ15" s="346"/>
      <c r="BK15" s="346"/>
      <c r="BL15" s="346"/>
      <c r="BM15" s="346"/>
      <c r="BN15" s="346"/>
      <c r="BO15" s="346"/>
      <c r="BP15" s="346"/>
      <c r="BQ15" s="346"/>
      <c r="BR15" s="346"/>
      <c r="BS15" s="346"/>
      <c r="BT15" s="346"/>
      <c r="BU15" s="346"/>
      <c r="BV15" s="346"/>
      <c r="BW15" s="346"/>
      <c r="BX15" s="346"/>
      <c r="BY15" s="346"/>
      <c r="BZ15" s="346"/>
      <c r="CA15" s="346"/>
      <c r="CB15" s="346"/>
      <c r="CC15" s="346"/>
      <c r="CD15" s="346"/>
      <c r="CE15" s="346"/>
      <c r="CF15" s="346"/>
      <c r="CG15" s="346"/>
      <c r="CH15" s="346"/>
      <c r="CI15" s="346"/>
      <c r="CJ15" s="346"/>
      <c r="CK15" s="346"/>
      <c r="CL15" s="346"/>
      <c r="CM15" s="346"/>
      <c r="CN15" s="346"/>
      <c r="CO15" s="346"/>
      <c r="CP15" s="346"/>
      <c r="CQ15" s="346"/>
      <c r="CR15" s="346"/>
      <c r="CS15" s="346"/>
      <c r="CT15" s="346"/>
      <c r="CU15" s="346"/>
      <c r="CV15" s="346"/>
      <c r="CW15" s="346"/>
      <c r="CX15" s="346"/>
      <c r="CY15" s="346"/>
      <c r="CZ15" s="346"/>
      <c r="DA15" s="346"/>
    </row>
    <row r="16" spans="1:105" s="348" customFormat="1" ht="48.05" customHeight="1" thickBot="1" x14ac:dyDescent="0.55000000000000004">
      <c r="A16" s="379">
        <v>3</v>
      </c>
      <c r="B16" s="389" t="s">
        <v>47</v>
      </c>
      <c r="C16" s="390" t="s">
        <v>923</v>
      </c>
      <c r="D16" s="452"/>
      <c r="E16" s="395">
        <v>2</v>
      </c>
      <c r="F16" s="450"/>
      <c r="H16" s="346"/>
      <c r="I16" s="346"/>
      <c r="J16" s="346"/>
      <c r="K16" s="346"/>
      <c r="L16" s="346"/>
      <c r="M16" s="346"/>
      <c r="N16" s="346"/>
      <c r="O16" s="346"/>
      <c r="P16" s="346"/>
      <c r="Q16" s="346"/>
      <c r="R16" s="346"/>
      <c r="S16" s="346"/>
      <c r="T16" s="346"/>
      <c r="U16" s="346"/>
      <c r="V16" s="346"/>
      <c r="W16" s="346"/>
      <c r="X16" s="346"/>
      <c r="Y16" s="346"/>
      <c r="Z16" s="346"/>
      <c r="AA16" s="346"/>
      <c r="AB16" s="346"/>
      <c r="AC16" s="346"/>
      <c r="AD16" s="346"/>
      <c r="AE16" s="346"/>
      <c r="AF16" s="346"/>
      <c r="AG16" s="346"/>
      <c r="AH16" s="346"/>
      <c r="AI16" s="346"/>
      <c r="AJ16" s="346"/>
      <c r="AK16" s="346"/>
      <c r="AL16" s="346"/>
      <c r="AM16" s="346"/>
      <c r="AN16" s="346"/>
      <c r="AO16" s="346"/>
      <c r="AP16" s="346"/>
      <c r="AQ16" s="346"/>
      <c r="AR16" s="346"/>
      <c r="AS16" s="346"/>
      <c r="AT16" s="346"/>
      <c r="AU16" s="346"/>
      <c r="AV16" s="346"/>
      <c r="AW16" s="346"/>
      <c r="AX16" s="346"/>
      <c r="AY16" s="346"/>
      <c r="AZ16" s="346"/>
      <c r="BA16" s="346"/>
      <c r="BB16" s="346"/>
      <c r="BC16" s="346"/>
      <c r="BD16" s="346"/>
      <c r="BE16" s="346"/>
      <c r="BF16" s="346"/>
      <c r="BG16" s="346"/>
      <c r="BH16" s="346"/>
      <c r="BI16" s="346"/>
      <c r="BJ16" s="346"/>
      <c r="BK16" s="346"/>
      <c r="BL16" s="346"/>
      <c r="BM16" s="346"/>
      <c r="BN16" s="346"/>
      <c r="BO16" s="346"/>
      <c r="BP16" s="346"/>
      <c r="BQ16" s="346"/>
      <c r="BR16" s="346"/>
      <c r="BS16" s="346"/>
      <c r="BT16" s="346"/>
      <c r="BU16" s="346"/>
      <c r="BV16" s="346"/>
      <c r="BW16" s="346"/>
      <c r="BX16" s="346"/>
      <c r="BY16" s="346"/>
      <c r="BZ16" s="346"/>
      <c r="CA16" s="346"/>
      <c r="CB16" s="346"/>
      <c r="CC16" s="346"/>
      <c r="CD16" s="346"/>
      <c r="CE16" s="346"/>
      <c r="CF16" s="346"/>
      <c r="CG16" s="346"/>
      <c r="CH16" s="346"/>
      <c r="CI16" s="346"/>
      <c r="CJ16" s="346"/>
      <c r="CK16" s="346"/>
      <c r="CL16" s="346"/>
      <c r="CM16" s="346"/>
      <c r="CN16" s="346"/>
      <c r="CO16" s="346"/>
      <c r="CP16" s="346"/>
      <c r="CQ16" s="346"/>
      <c r="CR16" s="346"/>
      <c r="CS16" s="346"/>
      <c r="CT16" s="346"/>
      <c r="CU16" s="346"/>
      <c r="CV16" s="346"/>
      <c r="CW16" s="346"/>
      <c r="CX16" s="346"/>
      <c r="CY16" s="346"/>
      <c r="CZ16" s="346"/>
      <c r="DA16" s="346"/>
    </row>
    <row r="17" spans="1:105" s="348" customFormat="1" ht="51.05" customHeight="1" x14ac:dyDescent="0.5">
      <c r="A17" s="382">
        <v>1</v>
      </c>
      <c r="B17" s="383" t="s">
        <v>412</v>
      </c>
      <c r="C17" s="384" t="s">
        <v>932</v>
      </c>
      <c r="D17" s="451" t="s">
        <v>816</v>
      </c>
      <c r="E17" s="391">
        <v>4</v>
      </c>
      <c r="F17" s="457">
        <f>SUM(E17:E24)</f>
        <v>20</v>
      </c>
      <c r="H17" s="346"/>
      <c r="I17" s="346"/>
      <c r="J17" s="346"/>
      <c r="K17" s="346"/>
      <c r="L17" s="346"/>
      <c r="M17" s="346"/>
      <c r="N17" s="346"/>
      <c r="O17" s="346"/>
      <c r="P17" s="346"/>
      <c r="Q17" s="346"/>
      <c r="R17" s="346"/>
      <c r="S17" s="346"/>
      <c r="T17" s="346"/>
      <c r="U17" s="346"/>
      <c r="V17" s="346"/>
      <c r="W17" s="346"/>
      <c r="X17" s="346"/>
      <c r="Y17" s="346"/>
      <c r="Z17" s="346"/>
      <c r="AA17" s="346"/>
      <c r="AB17" s="346"/>
      <c r="AC17" s="346"/>
      <c r="AD17" s="346"/>
      <c r="AE17" s="346"/>
      <c r="AF17" s="346"/>
      <c r="AG17" s="346"/>
      <c r="AH17" s="346"/>
      <c r="AI17" s="346"/>
      <c r="AJ17" s="346"/>
      <c r="AK17" s="346"/>
      <c r="AL17" s="346"/>
      <c r="AM17" s="346"/>
      <c r="AN17" s="346"/>
      <c r="AO17" s="346"/>
      <c r="AP17" s="346"/>
      <c r="AQ17" s="346"/>
      <c r="AR17" s="346"/>
      <c r="AS17" s="346"/>
      <c r="AT17" s="346"/>
      <c r="AU17" s="346"/>
      <c r="AV17" s="346"/>
      <c r="AW17" s="346"/>
      <c r="AX17" s="346"/>
      <c r="AY17" s="346"/>
      <c r="AZ17" s="346"/>
      <c r="BA17" s="346"/>
      <c r="BB17" s="346"/>
      <c r="BC17" s="346"/>
      <c r="BD17" s="346"/>
      <c r="BE17" s="346"/>
      <c r="BF17" s="346"/>
      <c r="BG17" s="346"/>
      <c r="BH17" s="346"/>
      <c r="BI17" s="346"/>
      <c r="BJ17" s="346"/>
      <c r="BK17" s="346"/>
      <c r="BL17" s="346"/>
      <c r="BM17" s="346"/>
      <c r="BN17" s="346"/>
      <c r="BO17" s="346"/>
      <c r="BP17" s="346"/>
      <c r="BQ17" s="346"/>
      <c r="BR17" s="346"/>
      <c r="BS17" s="346"/>
      <c r="BT17" s="346"/>
      <c r="BU17" s="346"/>
      <c r="BV17" s="346"/>
      <c r="BW17" s="346"/>
      <c r="BX17" s="346"/>
      <c r="BY17" s="346"/>
      <c r="BZ17" s="346"/>
      <c r="CA17" s="346"/>
      <c r="CB17" s="346"/>
      <c r="CC17" s="346"/>
      <c r="CD17" s="346"/>
      <c r="CE17" s="346"/>
      <c r="CF17" s="346"/>
      <c r="CG17" s="346"/>
      <c r="CH17" s="346"/>
      <c r="CI17" s="346"/>
      <c r="CJ17" s="346"/>
      <c r="CK17" s="346"/>
      <c r="CL17" s="346"/>
      <c r="CM17" s="346"/>
      <c r="CN17" s="346"/>
      <c r="CO17" s="346"/>
      <c r="CP17" s="346"/>
      <c r="CQ17" s="346"/>
      <c r="CR17" s="346"/>
      <c r="CS17" s="346"/>
      <c r="CT17" s="346"/>
      <c r="CU17" s="346"/>
      <c r="CV17" s="346"/>
      <c r="CW17" s="346"/>
      <c r="CX17" s="346"/>
      <c r="CY17" s="346"/>
      <c r="CZ17" s="346"/>
      <c r="DA17" s="346"/>
    </row>
    <row r="18" spans="1:105" s="348" customFormat="1" ht="59.2" customHeight="1" x14ac:dyDescent="0.5">
      <c r="A18" s="385">
        <v>2</v>
      </c>
      <c r="B18" s="350" t="s">
        <v>421</v>
      </c>
      <c r="C18" s="351" t="s">
        <v>933</v>
      </c>
      <c r="D18" s="452"/>
      <c r="E18" s="392">
        <v>1</v>
      </c>
      <c r="F18" s="458"/>
      <c r="H18" s="346"/>
      <c r="I18" s="346"/>
      <c r="J18" s="346"/>
      <c r="K18" s="346"/>
      <c r="L18" s="346"/>
      <c r="M18" s="346"/>
      <c r="N18" s="346"/>
      <c r="O18" s="346"/>
      <c r="P18" s="346"/>
      <c r="Q18" s="346"/>
      <c r="R18" s="346"/>
      <c r="S18" s="346"/>
      <c r="T18" s="346"/>
      <c r="U18" s="346"/>
      <c r="V18" s="346"/>
      <c r="W18" s="346"/>
      <c r="X18" s="346"/>
      <c r="Y18" s="346"/>
      <c r="Z18" s="346"/>
      <c r="AA18" s="346"/>
      <c r="AB18" s="346"/>
      <c r="AC18" s="346"/>
      <c r="AD18" s="346"/>
      <c r="AE18" s="346"/>
      <c r="AF18" s="346"/>
      <c r="AG18" s="346"/>
      <c r="AH18" s="346"/>
      <c r="AI18" s="346"/>
      <c r="AJ18" s="346"/>
      <c r="AK18" s="346"/>
      <c r="AL18" s="346"/>
      <c r="AM18" s="346"/>
      <c r="AN18" s="346"/>
      <c r="AO18" s="346"/>
      <c r="AP18" s="346"/>
      <c r="AQ18" s="346"/>
      <c r="AR18" s="346"/>
      <c r="AS18" s="346"/>
      <c r="AT18" s="346"/>
      <c r="AU18" s="346"/>
      <c r="AV18" s="346"/>
      <c r="AW18" s="346"/>
      <c r="AX18" s="346"/>
      <c r="AY18" s="346"/>
      <c r="AZ18" s="346"/>
      <c r="BA18" s="346"/>
      <c r="BB18" s="346"/>
      <c r="BC18" s="346"/>
      <c r="BD18" s="346"/>
      <c r="BE18" s="346"/>
      <c r="BF18" s="346"/>
      <c r="BG18" s="346"/>
      <c r="BH18" s="346"/>
      <c r="BI18" s="346"/>
      <c r="BJ18" s="346"/>
      <c r="BK18" s="346"/>
      <c r="BL18" s="346"/>
      <c r="BM18" s="346"/>
      <c r="BN18" s="346"/>
      <c r="BO18" s="346"/>
      <c r="BP18" s="346"/>
      <c r="BQ18" s="346"/>
      <c r="BR18" s="346"/>
      <c r="BS18" s="346"/>
      <c r="BT18" s="346"/>
      <c r="BU18" s="346"/>
      <c r="BV18" s="346"/>
      <c r="BW18" s="346"/>
      <c r="BX18" s="346"/>
      <c r="BY18" s="346"/>
      <c r="BZ18" s="346"/>
      <c r="CA18" s="346"/>
      <c r="CB18" s="346"/>
      <c r="CC18" s="346"/>
      <c r="CD18" s="346"/>
      <c r="CE18" s="346"/>
      <c r="CF18" s="346"/>
      <c r="CG18" s="346"/>
      <c r="CH18" s="346"/>
      <c r="CI18" s="346"/>
      <c r="CJ18" s="346"/>
      <c r="CK18" s="346"/>
      <c r="CL18" s="346"/>
      <c r="CM18" s="346"/>
      <c r="CN18" s="346"/>
      <c r="CO18" s="346"/>
      <c r="CP18" s="346"/>
      <c r="CQ18" s="346"/>
      <c r="CR18" s="346"/>
      <c r="CS18" s="346"/>
      <c r="CT18" s="346"/>
      <c r="CU18" s="346"/>
      <c r="CV18" s="346"/>
      <c r="CW18" s="346"/>
      <c r="CX18" s="346"/>
      <c r="CY18" s="346"/>
      <c r="CZ18" s="346"/>
      <c r="DA18" s="346"/>
    </row>
    <row r="19" spans="1:105" s="348" customFormat="1" ht="53.7" customHeight="1" x14ac:dyDescent="0.5">
      <c r="A19" s="385">
        <v>3</v>
      </c>
      <c r="B19" s="350" t="s">
        <v>422</v>
      </c>
      <c r="C19" s="351" t="s">
        <v>934</v>
      </c>
      <c r="D19" s="452"/>
      <c r="E19" s="392">
        <v>4</v>
      </c>
      <c r="F19" s="458"/>
      <c r="H19" s="346"/>
      <c r="I19" s="346"/>
      <c r="J19" s="346"/>
      <c r="K19" s="346"/>
      <c r="L19" s="346"/>
      <c r="M19" s="346"/>
      <c r="N19" s="346"/>
      <c r="O19" s="346"/>
      <c r="P19" s="346"/>
      <c r="Q19" s="346"/>
      <c r="R19" s="346"/>
      <c r="S19" s="346"/>
      <c r="T19" s="346"/>
      <c r="U19" s="346"/>
      <c r="V19" s="346"/>
      <c r="W19" s="346"/>
      <c r="X19" s="346"/>
      <c r="Y19" s="346"/>
      <c r="Z19" s="346"/>
      <c r="AA19" s="346"/>
      <c r="AB19" s="346"/>
      <c r="AC19" s="346"/>
      <c r="AD19" s="346"/>
      <c r="AE19" s="346"/>
      <c r="AF19" s="346"/>
      <c r="AG19" s="346"/>
      <c r="AH19" s="346"/>
      <c r="AI19" s="346"/>
      <c r="AJ19" s="346"/>
      <c r="AK19" s="346"/>
      <c r="AL19" s="346"/>
      <c r="AM19" s="346"/>
      <c r="AN19" s="346"/>
      <c r="AO19" s="346"/>
      <c r="AP19" s="346"/>
      <c r="AQ19" s="346"/>
      <c r="AR19" s="346"/>
      <c r="AS19" s="346"/>
      <c r="AT19" s="346"/>
      <c r="AU19" s="346"/>
      <c r="AV19" s="346"/>
      <c r="AW19" s="346"/>
      <c r="AX19" s="346"/>
      <c r="AY19" s="346"/>
      <c r="AZ19" s="346"/>
      <c r="BA19" s="346"/>
      <c r="BB19" s="346"/>
      <c r="BC19" s="346"/>
      <c r="BD19" s="346"/>
      <c r="BE19" s="346"/>
      <c r="BF19" s="346"/>
      <c r="BG19" s="346"/>
      <c r="BH19" s="346"/>
      <c r="BI19" s="346"/>
      <c r="BJ19" s="346"/>
      <c r="BK19" s="346"/>
      <c r="BL19" s="346"/>
      <c r="BM19" s="346"/>
      <c r="BN19" s="346"/>
      <c r="BO19" s="346"/>
      <c r="BP19" s="346"/>
      <c r="BQ19" s="346"/>
      <c r="BR19" s="346"/>
      <c r="BS19" s="346"/>
      <c r="BT19" s="346"/>
      <c r="BU19" s="346"/>
      <c r="BV19" s="346"/>
      <c r="BW19" s="346"/>
      <c r="BX19" s="346"/>
      <c r="BY19" s="346"/>
      <c r="BZ19" s="346"/>
      <c r="CA19" s="346"/>
      <c r="CB19" s="346"/>
      <c r="CC19" s="346"/>
      <c r="CD19" s="346"/>
      <c r="CE19" s="346"/>
      <c r="CF19" s="346"/>
      <c r="CG19" s="346"/>
      <c r="CH19" s="346"/>
      <c r="CI19" s="346"/>
      <c r="CJ19" s="346"/>
      <c r="CK19" s="346"/>
      <c r="CL19" s="346"/>
      <c r="CM19" s="346"/>
      <c r="CN19" s="346"/>
      <c r="CO19" s="346"/>
      <c r="CP19" s="346"/>
      <c r="CQ19" s="346"/>
      <c r="CR19" s="346"/>
      <c r="CS19" s="346"/>
      <c r="CT19" s="346"/>
      <c r="CU19" s="346"/>
      <c r="CV19" s="346"/>
      <c r="CW19" s="346"/>
      <c r="CX19" s="346"/>
      <c r="CY19" s="346"/>
      <c r="CZ19" s="346"/>
      <c r="DA19" s="346"/>
    </row>
    <row r="20" spans="1:105" s="348" customFormat="1" ht="47.15" customHeight="1" x14ac:dyDescent="0.5">
      <c r="A20" s="385">
        <v>4</v>
      </c>
      <c r="B20" s="350" t="s">
        <v>601</v>
      </c>
      <c r="C20" s="351" t="s">
        <v>939</v>
      </c>
      <c r="D20" s="452"/>
      <c r="E20" s="392">
        <v>1</v>
      </c>
      <c r="F20" s="458"/>
      <c r="H20" s="346"/>
      <c r="I20" s="346"/>
      <c r="J20" s="346"/>
      <c r="K20" s="346"/>
      <c r="L20" s="346"/>
      <c r="M20" s="346"/>
      <c r="N20" s="346"/>
      <c r="O20" s="346"/>
      <c r="P20" s="346"/>
      <c r="Q20" s="346"/>
      <c r="R20" s="346"/>
      <c r="S20" s="346"/>
      <c r="T20" s="346"/>
      <c r="U20" s="346"/>
      <c r="V20" s="346"/>
      <c r="W20" s="346"/>
      <c r="X20" s="346"/>
      <c r="Y20" s="346"/>
      <c r="Z20" s="346"/>
      <c r="AA20" s="346"/>
      <c r="AB20" s="346"/>
      <c r="AC20" s="346"/>
      <c r="AD20" s="346"/>
      <c r="AE20" s="346"/>
      <c r="AF20" s="346"/>
      <c r="AG20" s="346"/>
      <c r="AH20" s="346"/>
      <c r="AI20" s="346"/>
      <c r="AJ20" s="346"/>
      <c r="AK20" s="346"/>
      <c r="AL20" s="346"/>
      <c r="AM20" s="346"/>
      <c r="AN20" s="346"/>
      <c r="AO20" s="346"/>
      <c r="AP20" s="346"/>
      <c r="AQ20" s="346"/>
      <c r="AR20" s="346"/>
      <c r="AS20" s="346"/>
      <c r="AT20" s="346"/>
      <c r="AU20" s="346"/>
      <c r="AV20" s="346"/>
      <c r="AW20" s="346"/>
      <c r="AX20" s="346"/>
      <c r="AY20" s="346"/>
      <c r="AZ20" s="346"/>
      <c r="BA20" s="346"/>
      <c r="BB20" s="346"/>
      <c r="BC20" s="346"/>
      <c r="BD20" s="346"/>
      <c r="BE20" s="346"/>
      <c r="BF20" s="346"/>
      <c r="BG20" s="346"/>
      <c r="BH20" s="346"/>
      <c r="BI20" s="346"/>
      <c r="BJ20" s="346"/>
      <c r="BK20" s="346"/>
      <c r="BL20" s="346"/>
      <c r="BM20" s="346"/>
      <c r="BN20" s="346"/>
      <c r="BO20" s="346"/>
      <c r="BP20" s="346"/>
      <c r="BQ20" s="346"/>
      <c r="BR20" s="346"/>
      <c r="BS20" s="346"/>
      <c r="BT20" s="346"/>
      <c r="BU20" s="346"/>
      <c r="BV20" s="346"/>
      <c r="BW20" s="346"/>
      <c r="BX20" s="346"/>
      <c r="BY20" s="346"/>
      <c r="BZ20" s="346"/>
      <c r="CA20" s="346"/>
      <c r="CB20" s="346"/>
      <c r="CC20" s="346"/>
      <c r="CD20" s="346"/>
      <c r="CE20" s="346"/>
      <c r="CF20" s="346"/>
      <c r="CG20" s="346"/>
      <c r="CH20" s="346"/>
      <c r="CI20" s="346"/>
      <c r="CJ20" s="346"/>
      <c r="CK20" s="346"/>
      <c r="CL20" s="346"/>
      <c r="CM20" s="346"/>
      <c r="CN20" s="346"/>
      <c r="CO20" s="346"/>
      <c r="CP20" s="346"/>
      <c r="CQ20" s="346"/>
      <c r="CR20" s="346"/>
      <c r="CS20" s="346"/>
      <c r="CT20" s="346"/>
      <c r="CU20" s="346"/>
      <c r="CV20" s="346"/>
      <c r="CW20" s="346"/>
      <c r="CX20" s="346"/>
      <c r="CY20" s="346"/>
      <c r="CZ20" s="346"/>
      <c r="DA20" s="346"/>
    </row>
    <row r="21" spans="1:105" s="348" customFormat="1" ht="48.05" customHeight="1" x14ac:dyDescent="0.5">
      <c r="A21" s="385">
        <v>5</v>
      </c>
      <c r="B21" s="350" t="s">
        <v>466</v>
      </c>
      <c r="C21" s="351" t="s">
        <v>940</v>
      </c>
      <c r="D21" s="452"/>
      <c r="E21" s="392">
        <v>4</v>
      </c>
      <c r="F21" s="458"/>
      <c r="H21" s="346"/>
      <c r="I21" s="346"/>
      <c r="J21" s="346"/>
      <c r="K21" s="346"/>
      <c r="L21" s="346"/>
      <c r="M21" s="346"/>
      <c r="N21" s="346"/>
      <c r="O21" s="346"/>
      <c r="P21" s="346"/>
      <c r="Q21" s="346"/>
      <c r="R21" s="346"/>
      <c r="S21" s="346"/>
      <c r="T21" s="346"/>
      <c r="U21" s="346"/>
      <c r="V21" s="346"/>
      <c r="W21" s="346"/>
      <c r="X21" s="346"/>
      <c r="Y21" s="346"/>
      <c r="Z21" s="346"/>
      <c r="AA21" s="346"/>
      <c r="AB21" s="346"/>
      <c r="AC21" s="346"/>
      <c r="AD21" s="346"/>
      <c r="AE21" s="346"/>
      <c r="AF21" s="346"/>
      <c r="AG21" s="346"/>
      <c r="AH21" s="346"/>
      <c r="AI21" s="346"/>
      <c r="AJ21" s="346"/>
      <c r="AK21" s="346"/>
      <c r="AL21" s="346"/>
      <c r="AM21" s="346"/>
      <c r="AN21" s="346"/>
      <c r="AO21" s="346"/>
      <c r="AP21" s="346"/>
      <c r="AQ21" s="346"/>
      <c r="AR21" s="346"/>
      <c r="AS21" s="346"/>
      <c r="AT21" s="346"/>
      <c r="AU21" s="346"/>
      <c r="AV21" s="346"/>
      <c r="AW21" s="346"/>
      <c r="AX21" s="346"/>
      <c r="AY21" s="346"/>
      <c r="AZ21" s="346"/>
      <c r="BA21" s="346"/>
      <c r="BB21" s="346"/>
      <c r="BC21" s="346"/>
      <c r="BD21" s="346"/>
      <c r="BE21" s="346"/>
      <c r="BF21" s="346"/>
      <c r="BG21" s="346"/>
      <c r="BH21" s="346"/>
      <c r="BI21" s="346"/>
      <c r="BJ21" s="346"/>
      <c r="BK21" s="346"/>
      <c r="BL21" s="346"/>
      <c r="BM21" s="346"/>
      <c r="BN21" s="346"/>
      <c r="BO21" s="346"/>
      <c r="BP21" s="346"/>
      <c r="BQ21" s="346"/>
      <c r="BR21" s="346"/>
      <c r="BS21" s="346"/>
      <c r="BT21" s="346"/>
      <c r="BU21" s="346"/>
      <c r="BV21" s="346"/>
      <c r="BW21" s="346"/>
      <c r="BX21" s="346"/>
      <c r="BY21" s="346"/>
      <c r="BZ21" s="346"/>
      <c r="CA21" s="346"/>
      <c r="CB21" s="346"/>
      <c r="CC21" s="346"/>
      <c r="CD21" s="346"/>
      <c r="CE21" s="346"/>
      <c r="CF21" s="346"/>
      <c r="CG21" s="346"/>
      <c r="CH21" s="346"/>
      <c r="CI21" s="346"/>
      <c r="CJ21" s="346"/>
      <c r="CK21" s="346"/>
      <c r="CL21" s="346"/>
      <c r="CM21" s="346"/>
      <c r="CN21" s="346"/>
      <c r="CO21" s="346"/>
      <c r="CP21" s="346"/>
      <c r="CQ21" s="346"/>
      <c r="CR21" s="346"/>
      <c r="CS21" s="346"/>
      <c r="CT21" s="346"/>
      <c r="CU21" s="346"/>
      <c r="CV21" s="346"/>
      <c r="CW21" s="346"/>
      <c r="CX21" s="346"/>
      <c r="CY21" s="346"/>
      <c r="CZ21" s="346"/>
      <c r="DA21" s="346"/>
    </row>
    <row r="22" spans="1:105" s="348" customFormat="1" ht="48.05" customHeight="1" x14ac:dyDescent="0.5">
      <c r="A22" s="385">
        <v>6</v>
      </c>
      <c r="B22" s="350" t="s">
        <v>618</v>
      </c>
      <c r="C22" s="351" t="s">
        <v>943</v>
      </c>
      <c r="D22" s="452"/>
      <c r="E22" s="392">
        <v>1</v>
      </c>
      <c r="F22" s="458"/>
      <c r="H22" s="346"/>
      <c r="I22" s="346"/>
      <c r="J22" s="346"/>
      <c r="K22" s="346"/>
      <c r="L22" s="346"/>
      <c r="M22" s="346"/>
      <c r="N22" s="346"/>
      <c r="O22" s="346"/>
      <c r="P22" s="346"/>
      <c r="Q22" s="346"/>
      <c r="R22" s="346"/>
      <c r="S22" s="346"/>
      <c r="T22" s="346"/>
      <c r="U22" s="346"/>
      <c r="V22" s="346"/>
      <c r="W22" s="346"/>
      <c r="X22" s="346"/>
      <c r="Y22" s="346"/>
      <c r="Z22" s="346"/>
      <c r="AA22" s="346"/>
      <c r="AB22" s="346"/>
      <c r="AC22" s="346"/>
      <c r="AD22" s="346"/>
      <c r="AE22" s="346"/>
      <c r="AF22" s="346"/>
      <c r="AG22" s="346"/>
      <c r="AH22" s="346"/>
      <c r="AI22" s="346"/>
      <c r="AJ22" s="346"/>
      <c r="AK22" s="346"/>
      <c r="AL22" s="346"/>
      <c r="AM22" s="346"/>
      <c r="AN22" s="346"/>
      <c r="AO22" s="346"/>
      <c r="AP22" s="346"/>
      <c r="AQ22" s="346"/>
      <c r="AR22" s="346"/>
      <c r="AS22" s="346"/>
      <c r="AT22" s="346"/>
      <c r="AU22" s="346"/>
      <c r="AV22" s="346"/>
      <c r="AW22" s="346"/>
      <c r="AX22" s="346"/>
      <c r="AY22" s="346"/>
      <c r="AZ22" s="346"/>
      <c r="BA22" s="346"/>
      <c r="BB22" s="346"/>
      <c r="BC22" s="346"/>
      <c r="BD22" s="346"/>
      <c r="BE22" s="346"/>
      <c r="BF22" s="346"/>
      <c r="BG22" s="346"/>
      <c r="BH22" s="346"/>
      <c r="BI22" s="346"/>
      <c r="BJ22" s="346"/>
      <c r="BK22" s="346"/>
      <c r="BL22" s="346"/>
      <c r="BM22" s="346"/>
      <c r="BN22" s="346"/>
      <c r="BO22" s="346"/>
      <c r="BP22" s="346"/>
      <c r="BQ22" s="346"/>
      <c r="BR22" s="346"/>
      <c r="BS22" s="346"/>
      <c r="BT22" s="346"/>
      <c r="BU22" s="346"/>
      <c r="BV22" s="346"/>
      <c r="BW22" s="346"/>
      <c r="BX22" s="346"/>
      <c r="BY22" s="346"/>
      <c r="BZ22" s="346"/>
      <c r="CA22" s="346"/>
      <c r="CB22" s="346"/>
      <c r="CC22" s="346"/>
      <c r="CD22" s="346"/>
      <c r="CE22" s="346"/>
      <c r="CF22" s="346"/>
      <c r="CG22" s="346"/>
      <c r="CH22" s="346"/>
      <c r="CI22" s="346"/>
      <c r="CJ22" s="346"/>
      <c r="CK22" s="346"/>
      <c r="CL22" s="346"/>
      <c r="CM22" s="346"/>
      <c r="CN22" s="346"/>
      <c r="CO22" s="346"/>
      <c r="CP22" s="346"/>
      <c r="CQ22" s="346"/>
      <c r="CR22" s="346"/>
      <c r="CS22" s="346"/>
      <c r="CT22" s="346"/>
      <c r="CU22" s="346"/>
      <c r="CV22" s="346"/>
      <c r="CW22" s="346"/>
      <c r="CX22" s="346"/>
      <c r="CY22" s="346"/>
      <c r="CZ22" s="346"/>
      <c r="DA22" s="346"/>
    </row>
    <row r="23" spans="1:105" s="348" customFormat="1" ht="51.05" customHeight="1" x14ac:dyDescent="0.5">
      <c r="A23" s="385">
        <v>7</v>
      </c>
      <c r="B23" s="350" t="s">
        <v>642</v>
      </c>
      <c r="C23" s="351" t="s">
        <v>947</v>
      </c>
      <c r="D23" s="452"/>
      <c r="E23" s="392">
        <v>1</v>
      </c>
      <c r="F23" s="458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46"/>
      <c r="T23" s="346"/>
      <c r="U23" s="346"/>
      <c r="V23" s="346"/>
      <c r="W23" s="346"/>
      <c r="X23" s="346"/>
      <c r="Y23" s="346"/>
      <c r="Z23" s="346"/>
      <c r="AA23" s="346"/>
      <c r="AB23" s="346"/>
      <c r="AC23" s="346"/>
      <c r="AD23" s="346"/>
      <c r="AE23" s="346"/>
      <c r="AF23" s="346"/>
      <c r="AG23" s="346"/>
      <c r="AH23" s="346"/>
      <c r="AI23" s="346"/>
      <c r="AJ23" s="346"/>
      <c r="AK23" s="346"/>
      <c r="AL23" s="346"/>
      <c r="AM23" s="346"/>
      <c r="AN23" s="346"/>
      <c r="AO23" s="346"/>
      <c r="AP23" s="346"/>
      <c r="AQ23" s="346"/>
      <c r="AR23" s="346"/>
      <c r="AS23" s="346"/>
      <c r="AT23" s="346"/>
      <c r="AU23" s="346"/>
      <c r="AV23" s="346"/>
      <c r="AW23" s="346"/>
      <c r="AX23" s="346"/>
      <c r="AY23" s="346"/>
      <c r="AZ23" s="346"/>
      <c r="BA23" s="346"/>
      <c r="BB23" s="346"/>
      <c r="BC23" s="346"/>
      <c r="BD23" s="346"/>
      <c r="BE23" s="346"/>
      <c r="BF23" s="346"/>
      <c r="BG23" s="346"/>
      <c r="BH23" s="346"/>
      <c r="BI23" s="346"/>
      <c r="BJ23" s="346"/>
      <c r="BK23" s="346"/>
      <c r="BL23" s="346"/>
      <c r="BM23" s="346"/>
      <c r="BN23" s="346"/>
      <c r="BO23" s="346"/>
      <c r="BP23" s="346"/>
      <c r="BQ23" s="346"/>
      <c r="BR23" s="346"/>
      <c r="BS23" s="346"/>
      <c r="BT23" s="346"/>
      <c r="BU23" s="346"/>
      <c r="BV23" s="346"/>
      <c r="BW23" s="346"/>
      <c r="BX23" s="346"/>
      <c r="BY23" s="346"/>
      <c r="BZ23" s="346"/>
      <c r="CA23" s="346"/>
      <c r="CB23" s="346"/>
      <c r="CC23" s="346"/>
      <c r="CD23" s="346"/>
      <c r="CE23" s="346"/>
      <c r="CF23" s="346"/>
      <c r="CG23" s="346"/>
      <c r="CH23" s="346"/>
      <c r="CI23" s="346"/>
      <c r="CJ23" s="346"/>
      <c r="CK23" s="346"/>
      <c r="CL23" s="346"/>
      <c r="CM23" s="346"/>
      <c r="CN23" s="346"/>
      <c r="CO23" s="346"/>
      <c r="CP23" s="346"/>
      <c r="CQ23" s="346"/>
      <c r="CR23" s="346"/>
      <c r="CS23" s="346"/>
      <c r="CT23" s="346"/>
      <c r="CU23" s="346"/>
      <c r="CV23" s="346"/>
      <c r="CW23" s="346"/>
      <c r="CX23" s="346"/>
      <c r="CY23" s="346"/>
      <c r="CZ23" s="346"/>
      <c r="DA23" s="346"/>
    </row>
    <row r="24" spans="1:105" s="348" customFormat="1" ht="55.45" customHeight="1" thickBot="1" x14ac:dyDescent="0.55000000000000004">
      <c r="A24" s="386">
        <v>8</v>
      </c>
      <c r="B24" s="387" t="s">
        <v>914</v>
      </c>
      <c r="C24" s="388" t="s">
        <v>963</v>
      </c>
      <c r="D24" s="453"/>
      <c r="E24" s="393">
        <v>4</v>
      </c>
      <c r="F24" s="459"/>
      <c r="H24" s="346"/>
      <c r="I24" s="346"/>
      <c r="J24" s="346"/>
      <c r="K24" s="346"/>
      <c r="L24" s="346"/>
      <c r="M24" s="346"/>
      <c r="N24" s="346"/>
      <c r="O24" s="346"/>
      <c r="P24" s="346"/>
      <c r="Q24" s="346"/>
      <c r="R24" s="346"/>
      <c r="S24" s="346"/>
      <c r="T24" s="346"/>
      <c r="U24" s="346"/>
      <c r="V24" s="346"/>
      <c r="W24" s="346"/>
      <c r="X24" s="346"/>
      <c r="Y24" s="346"/>
      <c r="Z24" s="346"/>
      <c r="AA24" s="346"/>
      <c r="AB24" s="346"/>
      <c r="AC24" s="346"/>
      <c r="AD24" s="346"/>
      <c r="AE24" s="346"/>
      <c r="AF24" s="346"/>
      <c r="AG24" s="346"/>
      <c r="AH24" s="346"/>
      <c r="AI24" s="346"/>
      <c r="AJ24" s="346"/>
      <c r="AK24" s="346"/>
      <c r="AL24" s="346"/>
      <c r="AM24" s="346"/>
      <c r="AN24" s="346"/>
      <c r="AO24" s="346"/>
      <c r="AP24" s="346"/>
      <c r="AQ24" s="346"/>
      <c r="AR24" s="346"/>
      <c r="AS24" s="346"/>
      <c r="AT24" s="346"/>
      <c r="AU24" s="346"/>
      <c r="AV24" s="346"/>
      <c r="AW24" s="346"/>
      <c r="AX24" s="346"/>
      <c r="AY24" s="346"/>
      <c r="AZ24" s="346"/>
      <c r="BA24" s="346"/>
      <c r="BB24" s="346"/>
      <c r="BC24" s="346"/>
      <c r="BD24" s="346"/>
      <c r="BE24" s="346"/>
      <c r="BF24" s="346"/>
      <c r="BG24" s="346"/>
      <c r="BH24" s="346"/>
      <c r="BI24" s="346"/>
      <c r="BJ24" s="346"/>
      <c r="BK24" s="346"/>
      <c r="BL24" s="346"/>
      <c r="BM24" s="346"/>
      <c r="BN24" s="346"/>
      <c r="BO24" s="346"/>
      <c r="BP24" s="346"/>
      <c r="BQ24" s="346"/>
      <c r="BR24" s="346"/>
      <c r="BS24" s="346"/>
      <c r="BT24" s="346"/>
      <c r="BU24" s="346"/>
      <c r="BV24" s="346"/>
      <c r="BW24" s="346"/>
      <c r="BX24" s="346"/>
      <c r="BY24" s="346"/>
      <c r="BZ24" s="346"/>
      <c r="CA24" s="346"/>
      <c r="CB24" s="346"/>
      <c r="CC24" s="346"/>
      <c r="CD24" s="346"/>
      <c r="CE24" s="346"/>
      <c r="CF24" s="346"/>
      <c r="CG24" s="346"/>
      <c r="CH24" s="346"/>
      <c r="CI24" s="346"/>
      <c r="CJ24" s="346"/>
      <c r="CK24" s="346"/>
      <c r="CL24" s="346"/>
      <c r="CM24" s="346"/>
      <c r="CN24" s="346"/>
      <c r="CO24" s="346"/>
      <c r="CP24" s="346"/>
      <c r="CQ24" s="346"/>
      <c r="CR24" s="346"/>
      <c r="CS24" s="346"/>
      <c r="CT24" s="346"/>
      <c r="CU24" s="346"/>
      <c r="CV24" s="346"/>
      <c r="CW24" s="346"/>
      <c r="CX24" s="346"/>
      <c r="CY24" s="346"/>
      <c r="CZ24" s="346"/>
      <c r="DA24" s="346"/>
    </row>
    <row r="25" spans="1:105" s="348" customFormat="1" ht="47.15" customHeight="1" x14ac:dyDescent="0.5">
      <c r="A25" s="363">
        <v>1</v>
      </c>
      <c r="B25" s="380" t="s">
        <v>40</v>
      </c>
      <c r="C25" s="381" t="s">
        <v>919</v>
      </c>
      <c r="D25" s="452" t="s">
        <v>814</v>
      </c>
      <c r="E25" s="394">
        <v>2</v>
      </c>
      <c r="F25" s="460">
        <f>SUM(E25:E33)</f>
        <v>12</v>
      </c>
      <c r="H25" s="346"/>
      <c r="I25" s="346"/>
      <c r="J25" s="346"/>
      <c r="K25" s="346"/>
      <c r="L25" s="346"/>
      <c r="M25" s="346"/>
      <c r="N25" s="346"/>
      <c r="O25" s="346"/>
      <c r="P25" s="346"/>
      <c r="Q25" s="346"/>
      <c r="R25" s="346"/>
      <c r="S25" s="346"/>
      <c r="T25" s="346"/>
      <c r="U25" s="346"/>
      <c r="V25" s="346"/>
      <c r="W25" s="346"/>
      <c r="X25" s="346"/>
      <c r="Y25" s="346"/>
      <c r="Z25" s="346"/>
      <c r="AA25" s="346"/>
      <c r="AB25" s="346"/>
      <c r="AC25" s="346"/>
      <c r="AD25" s="346"/>
      <c r="AE25" s="346"/>
      <c r="AF25" s="346"/>
      <c r="AG25" s="346"/>
      <c r="AH25" s="346"/>
      <c r="AI25" s="346"/>
      <c r="AJ25" s="346"/>
      <c r="AK25" s="346"/>
      <c r="AL25" s="346"/>
      <c r="AM25" s="346"/>
      <c r="AN25" s="346"/>
      <c r="AO25" s="346"/>
      <c r="AP25" s="346"/>
      <c r="AQ25" s="346"/>
      <c r="AR25" s="346"/>
      <c r="AS25" s="346"/>
      <c r="AT25" s="346"/>
      <c r="AU25" s="346"/>
      <c r="AV25" s="346"/>
      <c r="AW25" s="346"/>
      <c r="AX25" s="346"/>
      <c r="AY25" s="346"/>
      <c r="AZ25" s="346"/>
      <c r="BA25" s="346"/>
      <c r="BB25" s="346"/>
      <c r="BC25" s="346"/>
      <c r="BD25" s="346"/>
      <c r="BE25" s="346"/>
      <c r="BF25" s="346"/>
      <c r="BG25" s="346"/>
      <c r="BH25" s="346"/>
      <c r="BI25" s="346"/>
      <c r="BJ25" s="346"/>
      <c r="BK25" s="346"/>
      <c r="BL25" s="346"/>
      <c r="BM25" s="346"/>
      <c r="BN25" s="346"/>
      <c r="BO25" s="346"/>
      <c r="BP25" s="346"/>
      <c r="BQ25" s="346"/>
      <c r="BR25" s="346"/>
      <c r="BS25" s="346"/>
      <c r="BT25" s="346"/>
      <c r="BU25" s="346"/>
      <c r="BV25" s="346"/>
      <c r="BW25" s="346"/>
      <c r="BX25" s="346"/>
      <c r="BY25" s="346"/>
      <c r="BZ25" s="346"/>
      <c r="CA25" s="346"/>
      <c r="CB25" s="346"/>
      <c r="CC25" s="346"/>
      <c r="CD25" s="346"/>
      <c r="CE25" s="346"/>
      <c r="CF25" s="346"/>
      <c r="CG25" s="346"/>
      <c r="CH25" s="346"/>
      <c r="CI25" s="346"/>
      <c r="CJ25" s="346"/>
      <c r="CK25" s="346"/>
      <c r="CL25" s="346"/>
      <c r="CM25" s="346"/>
      <c r="CN25" s="346"/>
      <c r="CO25" s="346"/>
      <c r="CP25" s="346"/>
      <c r="CQ25" s="346"/>
      <c r="CR25" s="346"/>
      <c r="CS25" s="346"/>
      <c r="CT25" s="346"/>
      <c r="CU25" s="346"/>
      <c r="CV25" s="346"/>
      <c r="CW25" s="346"/>
      <c r="CX25" s="346"/>
      <c r="CY25" s="346"/>
      <c r="CZ25" s="346"/>
      <c r="DA25" s="346"/>
    </row>
    <row r="26" spans="1:105" s="348" customFormat="1" ht="52.3" customHeight="1" x14ac:dyDescent="0.5">
      <c r="A26" s="331">
        <v>2</v>
      </c>
      <c r="B26" s="350" t="s">
        <v>895</v>
      </c>
      <c r="C26" s="351" t="s">
        <v>920</v>
      </c>
      <c r="D26" s="452"/>
      <c r="E26" s="392">
        <v>3</v>
      </c>
      <c r="F26" s="450"/>
      <c r="H26" s="346"/>
      <c r="I26" s="346"/>
      <c r="J26" s="346"/>
      <c r="K26" s="346"/>
      <c r="L26" s="346"/>
      <c r="M26" s="346"/>
      <c r="N26" s="346"/>
      <c r="O26" s="346"/>
      <c r="P26" s="346"/>
      <c r="Q26" s="346"/>
      <c r="R26" s="346"/>
      <c r="S26" s="346"/>
      <c r="T26" s="346"/>
      <c r="U26" s="346"/>
      <c r="V26" s="346"/>
      <c r="W26" s="346"/>
      <c r="X26" s="346"/>
      <c r="Y26" s="346"/>
      <c r="Z26" s="346"/>
      <c r="AA26" s="346"/>
      <c r="AB26" s="346"/>
      <c r="AC26" s="346"/>
      <c r="AD26" s="346"/>
      <c r="AE26" s="346"/>
      <c r="AF26" s="346"/>
      <c r="AG26" s="346"/>
      <c r="AH26" s="346"/>
      <c r="AI26" s="346"/>
      <c r="AJ26" s="346"/>
      <c r="AK26" s="346"/>
      <c r="AL26" s="346"/>
      <c r="AM26" s="346"/>
      <c r="AN26" s="346"/>
      <c r="AO26" s="346"/>
      <c r="AP26" s="346"/>
      <c r="AQ26" s="346"/>
      <c r="AR26" s="346"/>
      <c r="AS26" s="346"/>
      <c r="AT26" s="346"/>
      <c r="AU26" s="346"/>
      <c r="AV26" s="346"/>
      <c r="AW26" s="346"/>
      <c r="AX26" s="346"/>
      <c r="AY26" s="346"/>
      <c r="AZ26" s="346"/>
      <c r="BA26" s="346"/>
      <c r="BB26" s="346"/>
      <c r="BC26" s="346"/>
      <c r="BD26" s="346"/>
      <c r="BE26" s="346"/>
      <c r="BF26" s="346"/>
      <c r="BG26" s="346"/>
      <c r="BH26" s="346"/>
      <c r="BI26" s="346"/>
      <c r="BJ26" s="346"/>
      <c r="BK26" s="346"/>
      <c r="BL26" s="346"/>
      <c r="BM26" s="346"/>
      <c r="BN26" s="346"/>
      <c r="BO26" s="346"/>
      <c r="BP26" s="346"/>
      <c r="BQ26" s="346"/>
      <c r="BR26" s="346"/>
      <c r="BS26" s="346"/>
      <c r="BT26" s="346"/>
      <c r="BU26" s="346"/>
      <c r="BV26" s="346"/>
      <c r="BW26" s="346"/>
      <c r="BX26" s="346"/>
      <c r="BY26" s="346"/>
      <c r="BZ26" s="346"/>
      <c r="CA26" s="346"/>
      <c r="CB26" s="346"/>
      <c r="CC26" s="346"/>
      <c r="CD26" s="346"/>
      <c r="CE26" s="346"/>
      <c r="CF26" s="346"/>
      <c r="CG26" s="346"/>
      <c r="CH26" s="346"/>
      <c r="CI26" s="346"/>
      <c r="CJ26" s="346"/>
      <c r="CK26" s="346"/>
      <c r="CL26" s="346"/>
      <c r="CM26" s="346"/>
      <c r="CN26" s="346"/>
      <c r="CO26" s="346"/>
      <c r="CP26" s="346"/>
      <c r="CQ26" s="346"/>
      <c r="CR26" s="346"/>
      <c r="CS26" s="346"/>
      <c r="CT26" s="346"/>
      <c r="CU26" s="346"/>
      <c r="CV26" s="346"/>
      <c r="CW26" s="346"/>
      <c r="CX26" s="346"/>
      <c r="CY26" s="346"/>
      <c r="CZ26" s="346"/>
      <c r="DA26" s="346"/>
    </row>
    <row r="27" spans="1:105" s="348" customFormat="1" ht="50.1" customHeight="1" x14ac:dyDescent="0.5">
      <c r="A27" s="331">
        <v>3</v>
      </c>
      <c r="B27" s="350" t="s">
        <v>848</v>
      </c>
      <c r="C27" s="351" t="s">
        <v>924</v>
      </c>
      <c r="D27" s="452"/>
      <c r="E27" s="392">
        <v>1</v>
      </c>
      <c r="F27" s="450"/>
      <c r="H27" s="346"/>
      <c r="I27" s="346"/>
      <c r="J27" s="346"/>
      <c r="K27" s="346"/>
      <c r="L27" s="346"/>
      <c r="M27" s="346"/>
      <c r="N27" s="346"/>
      <c r="O27" s="346"/>
      <c r="P27" s="346"/>
      <c r="Q27" s="346"/>
      <c r="R27" s="346"/>
      <c r="S27" s="346"/>
      <c r="T27" s="346"/>
      <c r="U27" s="346"/>
      <c r="V27" s="346"/>
      <c r="W27" s="346"/>
      <c r="X27" s="346"/>
      <c r="Y27" s="346"/>
      <c r="Z27" s="346"/>
      <c r="AA27" s="346"/>
      <c r="AB27" s="346"/>
      <c r="AC27" s="346"/>
      <c r="AD27" s="346"/>
      <c r="AE27" s="346"/>
      <c r="AF27" s="346"/>
      <c r="AG27" s="346"/>
      <c r="AH27" s="346"/>
      <c r="AI27" s="346"/>
      <c r="AJ27" s="346"/>
      <c r="AK27" s="346"/>
      <c r="AL27" s="346"/>
      <c r="AM27" s="346"/>
      <c r="AN27" s="346"/>
      <c r="AO27" s="346"/>
      <c r="AP27" s="346"/>
      <c r="AQ27" s="346"/>
      <c r="AR27" s="346"/>
      <c r="AS27" s="346"/>
      <c r="AT27" s="346"/>
      <c r="AU27" s="346"/>
      <c r="AV27" s="346"/>
      <c r="AW27" s="346"/>
      <c r="AX27" s="346"/>
      <c r="AY27" s="346"/>
      <c r="AZ27" s="346"/>
      <c r="BA27" s="346"/>
      <c r="BB27" s="346"/>
      <c r="BC27" s="346"/>
      <c r="BD27" s="346"/>
      <c r="BE27" s="346"/>
      <c r="BF27" s="346"/>
      <c r="BG27" s="346"/>
      <c r="BH27" s="346"/>
      <c r="BI27" s="346"/>
      <c r="BJ27" s="346"/>
      <c r="BK27" s="346"/>
      <c r="BL27" s="346"/>
      <c r="BM27" s="346"/>
      <c r="BN27" s="346"/>
      <c r="BO27" s="346"/>
      <c r="BP27" s="346"/>
      <c r="BQ27" s="346"/>
      <c r="BR27" s="346"/>
      <c r="BS27" s="346"/>
      <c r="BT27" s="346"/>
      <c r="BU27" s="346"/>
      <c r="BV27" s="346"/>
      <c r="BW27" s="346"/>
      <c r="BX27" s="346"/>
      <c r="BY27" s="346"/>
      <c r="BZ27" s="346"/>
      <c r="CA27" s="346"/>
      <c r="CB27" s="346"/>
      <c r="CC27" s="346"/>
      <c r="CD27" s="346"/>
      <c r="CE27" s="346"/>
      <c r="CF27" s="346"/>
      <c r="CG27" s="346"/>
      <c r="CH27" s="346"/>
      <c r="CI27" s="346"/>
      <c r="CJ27" s="346"/>
      <c r="CK27" s="346"/>
      <c r="CL27" s="346"/>
      <c r="CM27" s="346"/>
      <c r="CN27" s="346"/>
      <c r="CO27" s="346"/>
      <c r="CP27" s="346"/>
      <c r="CQ27" s="346"/>
      <c r="CR27" s="346"/>
      <c r="CS27" s="346"/>
      <c r="CT27" s="346"/>
      <c r="CU27" s="346"/>
      <c r="CV27" s="346"/>
      <c r="CW27" s="346"/>
      <c r="CX27" s="346"/>
      <c r="CY27" s="346"/>
      <c r="CZ27" s="346"/>
      <c r="DA27" s="346"/>
    </row>
    <row r="28" spans="1:105" s="348" customFormat="1" ht="47.15" customHeight="1" x14ac:dyDescent="0.5">
      <c r="A28" s="331">
        <v>4</v>
      </c>
      <c r="B28" s="350" t="s">
        <v>896</v>
      </c>
      <c r="C28" s="351" t="s">
        <v>926</v>
      </c>
      <c r="D28" s="452"/>
      <c r="E28" s="392">
        <v>1</v>
      </c>
      <c r="F28" s="450"/>
      <c r="H28" s="346"/>
      <c r="I28" s="346"/>
      <c r="J28" s="346"/>
      <c r="K28" s="346"/>
      <c r="L28" s="346"/>
      <c r="M28" s="346"/>
      <c r="N28" s="346"/>
      <c r="O28" s="346"/>
      <c r="P28" s="346"/>
      <c r="Q28" s="346"/>
      <c r="R28" s="346"/>
      <c r="S28" s="346"/>
      <c r="T28" s="346"/>
      <c r="U28" s="346"/>
      <c r="V28" s="346"/>
      <c r="W28" s="346"/>
      <c r="X28" s="346"/>
      <c r="Y28" s="346"/>
      <c r="Z28" s="346"/>
      <c r="AA28" s="346"/>
      <c r="AB28" s="346"/>
      <c r="AC28" s="346"/>
      <c r="AD28" s="346"/>
      <c r="AE28" s="346"/>
      <c r="AF28" s="346"/>
      <c r="AG28" s="346"/>
      <c r="AH28" s="346"/>
      <c r="AI28" s="346"/>
      <c r="AJ28" s="346"/>
      <c r="AK28" s="346"/>
      <c r="AL28" s="346"/>
      <c r="AM28" s="346"/>
      <c r="AN28" s="346"/>
      <c r="AO28" s="346"/>
      <c r="AP28" s="346"/>
      <c r="AQ28" s="346"/>
      <c r="AR28" s="346"/>
      <c r="AS28" s="346"/>
      <c r="AT28" s="346"/>
      <c r="AU28" s="346"/>
      <c r="AV28" s="346"/>
      <c r="AW28" s="346"/>
      <c r="AX28" s="346"/>
      <c r="AY28" s="346"/>
      <c r="AZ28" s="346"/>
      <c r="BA28" s="346"/>
      <c r="BB28" s="346"/>
      <c r="BC28" s="346"/>
      <c r="BD28" s="346"/>
      <c r="BE28" s="346"/>
      <c r="BF28" s="346"/>
      <c r="BG28" s="346"/>
      <c r="BH28" s="346"/>
      <c r="BI28" s="346"/>
      <c r="BJ28" s="346"/>
      <c r="BK28" s="346"/>
      <c r="BL28" s="346"/>
      <c r="BM28" s="346"/>
      <c r="BN28" s="346"/>
      <c r="BO28" s="346"/>
      <c r="BP28" s="346"/>
      <c r="BQ28" s="346"/>
      <c r="BR28" s="346"/>
      <c r="BS28" s="346"/>
      <c r="BT28" s="346"/>
      <c r="BU28" s="346"/>
      <c r="BV28" s="346"/>
      <c r="BW28" s="346"/>
      <c r="BX28" s="346"/>
      <c r="BY28" s="346"/>
      <c r="BZ28" s="346"/>
      <c r="CA28" s="346"/>
      <c r="CB28" s="346"/>
      <c r="CC28" s="346"/>
      <c r="CD28" s="346"/>
      <c r="CE28" s="346"/>
      <c r="CF28" s="346"/>
      <c r="CG28" s="346"/>
      <c r="CH28" s="346"/>
      <c r="CI28" s="346"/>
      <c r="CJ28" s="346"/>
      <c r="CK28" s="346"/>
      <c r="CL28" s="346"/>
      <c r="CM28" s="346"/>
      <c r="CN28" s="346"/>
      <c r="CO28" s="346"/>
      <c r="CP28" s="346"/>
      <c r="CQ28" s="346"/>
      <c r="CR28" s="346"/>
      <c r="CS28" s="346"/>
      <c r="CT28" s="346"/>
      <c r="CU28" s="346"/>
      <c r="CV28" s="346"/>
      <c r="CW28" s="346"/>
      <c r="CX28" s="346"/>
      <c r="CY28" s="346"/>
      <c r="CZ28" s="346"/>
      <c r="DA28" s="346"/>
    </row>
    <row r="29" spans="1:105" s="348" customFormat="1" ht="53.7" customHeight="1" x14ac:dyDescent="0.5">
      <c r="A29" s="331">
        <v>5</v>
      </c>
      <c r="B29" s="350" t="s">
        <v>897</v>
      </c>
      <c r="C29" s="351" t="s">
        <v>927</v>
      </c>
      <c r="D29" s="452"/>
      <c r="E29" s="392">
        <v>1</v>
      </c>
      <c r="F29" s="450"/>
      <c r="H29" s="346"/>
      <c r="I29" s="346"/>
      <c r="J29" s="346"/>
      <c r="K29" s="346"/>
      <c r="L29" s="346"/>
      <c r="M29" s="346"/>
      <c r="N29" s="346"/>
      <c r="O29" s="346"/>
      <c r="P29" s="346"/>
      <c r="Q29" s="346"/>
      <c r="R29" s="346"/>
      <c r="S29" s="346"/>
      <c r="T29" s="346"/>
      <c r="U29" s="346"/>
      <c r="V29" s="346"/>
      <c r="W29" s="346"/>
      <c r="X29" s="346"/>
      <c r="Y29" s="346"/>
      <c r="Z29" s="346"/>
      <c r="AA29" s="346"/>
      <c r="AB29" s="346"/>
      <c r="AC29" s="346"/>
      <c r="AD29" s="346"/>
      <c r="AE29" s="346"/>
      <c r="AF29" s="346"/>
      <c r="AG29" s="346"/>
      <c r="AH29" s="346"/>
      <c r="AI29" s="346"/>
      <c r="AJ29" s="346"/>
      <c r="AK29" s="346"/>
      <c r="AL29" s="346"/>
      <c r="AM29" s="346"/>
      <c r="AN29" s="346"/>
      <c r="AO29" s="346"/>
      <c r="AP29" s="346"/>
      <c r="AQ29" s="346"/>
      <c r="AR29" s="346"/>
      <c r="AS29" s="346"/>
      <c r="AT29" s="346"/>
      <c r="AU29" s="346"/>
      <c r="AV29" s="346"/>
      <c r="AW29" s="346"/>
      <c r="AX29" s="346"/>
      <c r="AY29" s="346"/>
      <c r="AZ29" s="346"/>
      <c r="BA29" s="346"/>
      <c r="BB29" s="346"/>
      <c r="BC29" s="346"/>
      <c r="BD29" s="346"/>
      <c r="BE29" s="346"/>
      <c r="BF29" s="346"/>
      <c r="BG29" s="346"/>
      <c r="BH29" s="346"/>
      <c r="BI29" s="346"/>
      <c r="BJ29" s="346"/>
      <c r="BK29" s="346"/>
      <c r="BL29" s="346"/>
      <c r="BM29" s="346"/>
      <c r="BN29" s="346"/>
      <c r="BO29" s="346"/>
      <c r="BP29" s="346"/>
      <c r="BQ29" s="346"/>
      <c r="BR29" s="346"/>
      <c r="BS29" s="346"/>
      <c r="BT29" s="346"/>
      <c r="BU29" s="346"/>
      <c r="BV29" s="346"/>
      <c r="BW29" s="346"/>
      <c r="BX29" s="346"/>
      <c r="BY29" s="346"/>
      <c r="BZ29" s="346"/>
      <c r="CA29" s="346"/>
      <c r="CB29" s="346"/>
      <c r="CC29" s="346"/>
      <c r="CD29" s="346"/>
      <c r="CE29" s="346"/>
      <c r="CF29" s="346"/>
      <c r="CG29" s="346"/>
      <c r="CH29" s="346"/>
      <c r="CI29" s="346"/>
      <c r="CJ29" s="346"/>
      <c r="CK29" s="346"/>
      <c r="CL29" s="346"/>
      <c r="CM29" s="346"/>
      <c r="CN29" s="346"/>
      <c r="CO29" s="346"/>
      <c r="CP29" s="346"/>
      <c r="CQ29" s="346"/>
      <c r="CR29" s="346"/>
      <c r="CS29" s="346"/>
      <c r="CT29" s="346"/>
      <c r="CU29" s="346"/>
      <c r="CV29" s="346"/>
      <c r="CW29" s="346"/>
      <c r="CX29" s="346"/>
      <c r="CY29" s="346"/>
      <c r="CZ29" s="346"/>
      <c r="DA29" s="346"/>
    </row>
    <row r="30" spans="1:105" s="348" customFormat="1" ht="61.4" customHeight="1" x14ac:dyDescent="0.5">
      <c r="A30" s="331">
        <v>6</v>
      </c>
      <c r="B30" s="350" t="s">
        <v>894</v>
      </c>
      <c r="C30" s="351" t="s">
        <v>928</v>
      </c>
      <c r="D30" s="452"/>
      <c r="E30" s="392">
        <v>1</v>
      </c>
      <c r="F30" s="450"/>
      <c r="H30" s="346"/>
      <c r="I30" s="346"/>
      <c r="J30" s="346"/>
      <c r="K30" s="346"/>
      <c r="L30" s="346"/>
      <c r="M30" s="346"/>
      <c r="N30" s="346"/>
      <c r="O30" s="346"/>
      <c r="P30" s="346"/>
      <c r="Q30" s="346"/>
      <c r="R30" s="346"/>
      <c r="S30" s="346"/>
      <c r="T30" s="346"/>
      <c r="U30" s="346"/>
      <c r="V30" s="346"/>
      <c r="W30" s="346"/>
      <c r="X30" s="346"/>
      <c r="Y30" s="346"/>
      <c r="Z30" s="346"/>
      <c r="AA30" s="346"/>
      <c r="AB30" s="346"/>
      <c r="AC30" s="346"/>
      <c r="AD30" s="346"/>
      <c r="AE30" s="346"/>
      <c r="AF30" s="346"/>
      <c r="AG30" s="346"/>
      <c r="AH30" s="346"/>
      <c r="AI30" s="346"/>
      <c r="AJ30" s="346"/>
      <c r="AK30" s="346"/>
      <c r="AL30" s="346"/>
      <c r="AM30" s="346"/>
      <c r="AN30" s="346"/>
      <c r="AO30" s="346"/>
      <c r="AP30" s="346"/>
      <c r="AQ30" s="346"/>
      <c r="AR30" s="346"/>
      <c r="AS30" s="346"/>
      <c r="AT30" s="346"/>
      <c r="AU30" s="346"/>
      <c r="AV30" s="346"/>
      <c r="AW30" s="346"/>
      <c r="AX30" s="346"/>
      <c r="AY30" s="346"/>
      <c r="AZ30" s="346"/>
      <c r="BA30" s="346"/>
      <c r="BB30" s="346"/>
      <c r="BC30" s="346"/>
      <c r="BD30" s="346"/>
      <c r="BE30" s="346"/>
      <c r="BF30" s="346"/>
      <c r="BG30" s="346"/>
      <c r="BH30" s="346"/>
      <c r="BI30" s="346"/>
      <c r="BJ30" s="346"/>
      <c r="BK30" s="346"/>
      <c r="BL30" s="346"/>
      <c r="BM30" s="346"/>
      <c r="BN30" s="346"/>
      <c r="BO30" s="346"/>
      <c r="BP30" s="346"/>
      <c r="BQ30" s="346"/>
      <c r="BR30" s="346"/>
      <c r="BS30" s="346"/>
      <c r="BT30" s="346"/>
      <c r="BU30" s="346"/>
      <c r="BV30" s="346"/>
      <c r="BW30" s="346"/>
      <c r="BX30" s="346"/>
      <c r="BY30" s="346"/>
      <c r="BZ30" s="346"/>
      <c r="CA30" s="346"/>
      <c r="CB30" s="346"/>
      <c r="CC30" s="346"/>
      <c r="CD30" s="346"/>
      <c r="CE30" s="346"/>
      <c r="CF30" s="346"/>
      <c r="CG30" s="346"/>
      <c r="CH30" s="346"/>
      <c r="CI30" s="346"/>
      <c r="CJ30" s="346"/>
      <c r="CK30" s="346"/>
      <c r="CL30" s="346"/>
      <c r="CM30" s="346"/>
      <c r="CN30" s="346"/>
      <c r="CO30" s="346"/>
      <c r="CP30" s="346"/>
      <c r="CQ30" s="346"/>
      <c r="CR30" s="346"/>
      <c r="CS30" s="346"/>
      <c r="CT30" s="346"/>
      <c r="CU30" s="346"/>
      <c r="CV30" s="346"/>
      <c r="CW30" s="346"/>
      <c r="CX30" s="346"/>
      <c r="CY30" s="346"/>
      <c r="CZ30" s="346"/>
      <c r="DA30" s="346"/>
    </row>
    <row r="31" spans="1:105" s="348" customFormat="1" ht="63.1" customHeight="1" x14ac:dyDescent="0.5">
      <c r="A31" s="331">
        <v>7</v>
      </c>
      <c r="B31" s="350" t="s">
        <v>900</v>
      </c>
      <c r="C31" s="351" t="s">
        <v>931</v>
      </c>
      <c r="D31" s="452"/>
      <c r="E31" s="392">
        <v>1</v>
      </c>
      <c r="F31" s="450"/>
      <c r="H31" s="346"/>
      <c r="I31" s="346"/>
      <c r="J31" s="346"/>
      <c r="K31" s="346"/>
      <c r="L31" s="346"/>
      <c r="M31" s="346"/>
      <c r="N31" s="346"/>
      <c r="O31" s="346"/>
      <c r="P31" s="346"/>
      <c r="Q31" s="346"/>
      <c r="R31" s="346"/>
      <c r="S31" s="346"/>
      <c r="T31" s="346"/>
      <c r="U31" s="346"/>
      <c r="V31" s="346"/>
      <c r="W31" s="346"/>
      <c r="X31" s="346"/>
      <c r="Y31" s="346"/>
      <c r="Z31" s="346"/>
      <c r="AA31" s="346"/>
      <c r="AB31" s="346"/>
      <c r="AC31" s="346"/>
      <c r="AD31" s="346"/>
      <c r="AE31" s="346"/>
      <c r="AF31" s="346"/>
      <c r="AG31" s="346"/>
      <c r="AH31" s="346"/>
      <c r="AI31" s="346"/>
      <c r="AJ31" s="346"/>
      <c r="AK31" s="346"/>
      <c r="AL31" s="346"/>
      <c r="AM31" s="346"/>
      <c r="AN31" s="346"/>
      <c r="AO31" s="346"/>
      <c r="AP31" s="346"/>
      <c r="AQ31" s="346"/>
      <c r="AR31" s="346"/>
      <c r="AS31" s="346"/>
      <c r="AT31" s="346"/>
      <c r="AU31" s="346"/>
      <c r="AV31" s="346"/>
      <c r="AW31" s="346"/>
      <c r="AX31" s="346"/>
      <c r="AY31" s="346"/>
      <c r="AZ31" s="346"/>
      <c r="BA31" s="346"/>
      <c r="BB31" s="346"/>
      <c r="BC31" s="346"/>
      <c r="BD31" s="346"/>
      <c r="BE31" s="346"/>
      <c r="BF31" s="346"/>
      <c r="BG31" s="346"/>
      <c r="BH31" s="346"/>
      <c r="BI31" s="346"/>
      <c r="BJ31" s="346"/>
      <c r="BK31" s="346"/>
      <c r="BL31" s="346"/>
      <c r="BM31" s="346"/>
      <c r="BN31" s="346"/>
      <c r="BO31" s="346"/>
      <c r="BP31" s="346"/>
      <c r="BQ31" s="346"/>
      <c r="BR31" s="346"/>
      <c r="BS31" s="346"/>
      <c r="BT31" s="346"/>
      <c r="BU31" s="346"/>
      <c r="BV31" s="346"/>
      <c r="BW31" s="346"/>
      <c r="BX31" s="346"/>
      <c r="BY31" s="346"/>
      <c r="BZ31" s="346"/>
      <c r="CA31" s="346"/>
      <c r="CB31" s="346"/>
      <c r="CC31" s="346"/>
      <c r="CD31" s="346"/>
      <c r="CE31" s="346"/>
      <c r="CF31" s="346"/>
      <c r="CG31" s="346"/>
      <c r="CH31" s="346"/>
      <c r="CI31" s="346"/>
      <c r="CJ31" s="346"/>
      <c r="CK31" s="346"/>
      <c r="CL31" s="346"/>
      <c r="CM31" s="346"/>
      <c r="CN31" s="346"/>
      <c r="CO31" s="346"/>
      <c r="CP31" s="346"/>
      <c r="CQ31" s="346"/>
      <c r="CR31" s="346"/>
      <c r="CS31" s="346"/>
      <c r="CT31" s="346"/>
      <c r="CU31" s="346"/>
      <c r="CV31" s="346"/>
      <c r="CW31" s="346"/>
      <c r="CX31" s="346"/>
      <c r="CY31" s="346"/>
      <c r="CZ31" s="346"/>
      <c r="DA31" s="346"/>
    </row>
    <row r="32" spans="1:105" s="348" customFormat="1" ht="62.15" customHeight="1" x14ac:dyDescent="0.5">
      <c r="A32" s="331">
        <v>8</v>
      </c>
      <c r="B32" s="350" t="s">
        <v>562</v>
      </c>
      <c r="C32" s="351" t="s">
        <v>941</v>
      </c>
      <c r="D32" s="452"/>
      <c r="E32" s="392">
        <v>1</v>
      </c>
      <c r="F32" s="450"/>
      <c r="H32" s="346"/>
      <c r="I32" s="346"/>
      <c r="J32" s="346"/>
      <c r="K32" s="346"/>
      <c r="L32" s="346"/>
      <c r="M32" s="346"/>
      <c r="N32" s="346"/>
      <c r="O32" s="346"/>
      <c r="P32" s="346"/>
      <c r="Q32" s="346"/>
      <c r="R32" s="346"/>
      <c r="S32" s="346"/>
      <c r="T32" s="346"/>
      <c r="U32" s="346"/>
      <c r="V32" s="346"/>
      <c r="W32" s="346"/>
      <c r="X32" s="346"/>
      <c r="Y32" s="346"/>
      <c r="Z32" s="346"/>
      <c r="AA32" s="346"/>
      <c r="AB32" s="346"/>
      <c r="AC32" s="346"/>
      <c r="AD32" s="346"/>
      <c r="AE32" s="346"/>
      <c r="AF32" s="346"/>
      <c r="AG32" s="346"/>
      <c r="AH32" s="346"/>
      <c r="AI32" s="346"/>
      <c r="AJ32" s="346"/>
      <c r="AK32" s="346"/>
      <c r="AL32" s="346"/>
      <c r="AM32" s="346"/>
      <c r="AN32" s="346"/>
      <c r="AO32" s="346"/>
      <c r="AP32" s="346"/>
      <c r="AQ32" s="346"/>
      <c r="AR32" s="346"/>
      <c r="AS32" s="346"/>
      <c r="AT32" s="346"/>
      <c r="AU32" s="346"/>
      <c r="AV32" s="346"/>
      <c r="AW32" s="346"/>
      <c r="AX32" s="346"/>
      <c r="AY32" s="346"/>
      <c r="AZ32" s="346"/>
      <c r="BA32" s="346"/>
      <c r="BB32" s="346"/>
      <c r="BC32" s="346"/>
      <c r="BD32" s="346"/>
      <c r="BE32" s="346"/>
      <c r="BF32" s="346"/>
      <c r="BG32" s="346"/>
      <c r="BH32" s="346"/>
      <c r="BI32" s="346"/>
      <c r="BJ32" s="346"/>
      <c r="BK32" s="346"/>
      <c r="BL32" s="346"/>
      <c r="BM32" s="346"/>
      <c r="BN32" s="346"/>
      <c r="BO32" s="346"/>
      <c r="BP32" s="346"/>
      <c r="BQ32" s="346"/>
      <c r="BR32" s="346"/>
      <c r="BS32" s="346"/>
      <c r="BT32" s="346"/>
      <c r="BU32" s="346"/>
      <c r="BV32" s="346"/>
      <c r="BW32" s="346"/>
      <c r="BX32" s="346"/>
      <c r="BY32" s="346"/>
      <c r="BZ32" s="346"/>
      <c r="CA32" s="346"/>
      <c r="CB32" s="346"/>
      <c r="CC32" s="346"/>
      <c r="CD32" s="346"/>
      <c r="CE32" s="346"/>
      <c r="CF32" s="346"/>
      <c r="CG32" s="346"/>
      <c r="CH32" s="346"/>
      <c r="CI32" s="346"/>
      <c r="CJ32" s="346"/>
      <c r="CK32" s="346"/>
      <c r="CL32" s="346"/>
      <c r="CM32" s="346"/>
      <c r="CN32" s="346"/>
      <c r="CO32" s="346"/>
      <c r="CP32" s="346"/>
      <c r="CQ32" s="346"/>
      <c r="CR32" s="346"/>
      <c r="CS32" s="346"/>
      <c r="CT32" s="346"/>
      <c r="CU32" s="346"/>
      <c r="CV32" s="346"/>
      <c r="CW32" s="346"/>
      <c r="CX32" s="346"/>
      <c r="CY32" s="346"/>
      <c r="CZ32" s="346"/>
      <c r="DA32" s="346"/>
    </row>
    <row r="33" spans="1:105" s="348" customFormat="1" ht="50.1" customHeight="1" thickBot="1" x14ac:dyDescent="0.55000000000000004">
      <c r="A33" s="379">
        <v>9</v>
      </c>
      <c r="B33" s="389" t="s">
        <v>639</v>
      </c>
      <c r="C33" s="390" t="s">
        <v>945</v>
      </c>
      <c r="D33" s="452"/>
      <c r="E33" s="395">
        <v>1</v>
      </c>
      <c r="F33" s="450"/>
      <c r="H33" s="346"/>
      <c r="I33" s="346"/>
      <c r="J33" s="346"/>
      <c r="K33" s="346"/>
      <c r="L33" s="346"/>
      <c r="M33" s="346"/>
      <c r="N33" s="346"/>
      <c r="O33" s="346"/>
      <c r="P33" s="346"/>
      <c r="Q33" s="346"/>
      <c r="R33" s="346"/>
      <c r="S33" s="346"/>
      <c r="T33" s="346"/>
      <c r="U33" s="346"/>
      <c r="V33" s="346"/>
      <c r="W33" s="346"/>
      <c r="X33" s="346"/>
      <c r="Y33" s="346"/>
      <c r="Z33" s="346"/>
      <c r="AA33" s="346"/>
      <c r="AB33" s="346"/>
      <c r="AC33" s="346"/>
      <c r="AD33" s="346"/>
      <c r="AE33" s="346"/>
      <c r="AF33" s="346"/>
      <c r="AG33" s="346"/>
      <c r="AH33" s="346"/>
      <c r="AI33" s="346"/>
      <c r="AJ33" s="346"/>
      <c r="AK33" s="346"/>
      <c r="AL33" s="346"/>
      <c r="AM33" s="346"/>
      <c r="AN33" s="346"/>
      <c r="AO33" s="346"/>
      <c r="AP33" s="346"/>
      <c r="AQ33" s="346"/>
      <c r="AR33" s="346"/>
      <c r="AS33" s="346"/>
      <c r="AT33" s="346"/>
      <c r="AU33" s="346"/>
      <c r="AV33" s="346"/>
      <c r="AW33" s="346"/>
      <c r="AX33" s="346"/>
      <c r="AY33" s="346"/>
      <c r="AZ33" s="346"/>
      <c r="BA33" s="346"/>
      <c r="BB33" s="346"/>
      <c r="BC33" s="346"/>
      <c r="BD33" s="346"/>
      <c r="BE33" s="346"/>
      <c r="BF33" s="346"/>
      <c r="BG33" s="346"/>
      <c r="BH33" s="346"/>
      <c r="BI33" s="346"/>
      <c r="BJ33" s="346"/>
      <c r="BK33" s="346"/>
      <c r="BL33" s="346"/>
      <c r="BM33" s="346"/>
      <c r="BN33" s="346"/>
      <c r="BO33" s="346"/>
      <c r="BP33" s="346"/>
      <c r="BQ33" s="346"/>
      <c r="BR33" s="346"/>
      <c r="BS33" s="346"/>
      <c r="BT33" s="346"/>
      <c r="BU33" s="346"/>
      <c r="BV33" s="346"/>
      <c r="BW33" s="346"/>
      <c r="BX33" s="346"/>
      <c r="BY33" s="346"/>
      <c r="BZ33" s="346"/>
      <c r="CA33" s="346"/>
      <c r="CB33" s="346"/>
      <c r="CC33" s="346"/>
      <c r="CD33" s="346"/>
      <c r="CE33" s="346"/>
      <c r="CF33" s="346"/>
      <c r="CG33" s="346"/>
      <c r="CH33" s="346"/>
      <c r="CI33" s="346"/>
      <c r="CJ33" s="346"/>
      <c r="CK33" s="346"/>
      <c r="CL33" s="346"/>
      <c r="CM33" s="346"/>
      <c r="CN33" s="346"/>
      <c r="CO33" s="346"/>
      <c r="CP33" s="346"/>
      <c r="CQ33" s="346"/>
      <c r="CR33" s="346"/>
      <c r="CS33" s="346"/>
      <c r="CT33" s="346"/>
      <c r="CU33" s="346"/>
      <c r="CV33" s="346"/>
      <c r="CW33" s="346"/>
      <c r="CX33" s="346"/>
      <c r="CY33" s="346"/>
      <c r="CZ33" s="346"/>
      <c r="DA33" s="346"/>
    </row>
    <row r="34" spans="1:105" s="347" customFormat="1" ht="53.7" customHeight="1" x14ac:dyDescent="0.5">
      <c r="A34" s="382">
        <v>1</v>
      </c>
      <c r="B34" s="383" t="s">
        <v>909</v>
      </c>
      <c r="C34" s="384" t="s">
        <v>918</v>
      </c>
      <c r="D34" s="451" t="s">
        <v>975</v>
      </c>
      <c r="E34" s="391">
        <v>1</v>
      </c>
      <c r="F34" s="457">
        <f>SUM(E34:E45)</f>
        <v>15</v>
      </c>
      <c r="G34" s="348"/>
      <c r="H34" s="346"/>
      <c r="I34" s="346"/>
      <c r="J34" s="346"/>
      <c r="K34" s="346"/>
      <c r="L34" s="346"/>
      <c r="M34" s="346"/>
      <c r="N34" s="346"/>
      <c r="O34" s="346"/>
      <c r="P34" s="346"/>
      <c r="Q34" s="346"/>
      <c r="R34" s="346"/>
      <c r="S34" s="346"/>
      <c r="T34" s="346"/>
      <c r="U34" s="346"/>
      <c r="V34" s="346"/>
      <c r="W34" s="346"/>
      <c r="X34" s="346"/>
      <c r="Y34" s="346"/>
      <c r="Z34" s="346"/>
      <c r="AA34" s="346"/>
      <c r="AB34" s="346"/>
      <c r="AC34" s="346"/>
      <c r="AD34" s="346"/>
      <c r="AE34" s="346"/>
      <c r="AF34" s="346"/>
      <c r="AG34" s="346"/>
      <c r="AH34" s="346"/>
      <c r="AI34" s="346"/>
      <c r="AJ34" s="346"/>
      <c r="AK34" s="346"/>
      <c r="AL34" s="346"/>
      <c r="AM34" s="346"/>
      <c r="AN34" s="346"/>
      <c r="AO34" s="346"/>
      <c r="AP34" s="346"/>
      <c r="AQ34" s="346"/>
      <c r="AR34" s="346"/>
      <c r="AS34" s="346"/>
      <c r="AT34" s="346"/>
      <c r="AU34" s="346"/>
      <c r="AV34" s="346"/>
      <c r="AW34" s="346"/>
      <c r="AX34" s="346"/>
      <c r="AY34" s="346"/>
      <c r="AZ34" s="346"/>
      <c r="BA34" s="346"/>
      <c r="BB34" s="346"/>
      <c r="BC34" s="346"/>
      <c r="BD34" s="346"/>
      <c r="BE34" s="346"/>
      <c r="BF34" s="346"/>
      <c r="BG34" s="346"/>
      <c r="BH34" s="346"/>
      <c r="BI34" s="346"/>
      <c r="BJ34" s="346"/>
      <c r="BK34" s="346"/>
      <c r="BL34" s="346"/>
      <c r="BM34" s="346"/>
      <c r="BN34" s="346"/>
      <c r="BO34" s="346"/>
      <c r="BP34" s="346"/>
      <c r="BQ34" s="346"/>
      <c r="BR34" s="346"/>
      <c r="BS34" s="346"/>
      <c r="BT34" s="346"/>
      <c r="BU34" s="346"/>
      <c r="BV34" s="346"/>
      <c r="BW34" s="346"/>
      <c r="BX34" s="346"/>
      <c r="BY34" s="346"/>
      <c r="BZ34" s="346"/>
      <c r="CA34" s="346"/>
      <c r="CB34" s="346"/>
      <c r="CC34" s="346"/>
      <c r="CD34" s="346"/>
      <c r="CE34" s="346"/>
      <c r="CF34" s="346"/>
      <c r="CG34" s="346"/>
      <c r="CH34" s="346"/>
      <c r="CI34" s="346"/>
      <c r="CJ34" s="346"/>
      <c r="CK34" s="346"/>
      <c r="CL34" s="346"/>
      <c r="CM34" s="346"/>
      <c r="CN34" s="346"/>
      <c r="CO34" s="346"/>
      <c r="CP34" s="346"/>
      <c r="CQ34" s="346"/>
      <c r="CR34" s="346"/>
      <c r="CS34" s="346"/>
      <c r="CT34" s="346"/>
      <c r="CU34" s="346"/>
      <c r="CV34" s="346"/>
      <c r="CW34" s="346"/>
    </row>
    <row r="35" spans="1:105" s="348" customFormat="1" ht="59.95" customHeight="1" x14ac:dyDescent="0.5">
      <c r="A35" s="385">
        <v>2</v>
      </c>
      <c r="B35" s="350" t="s">
        <v>844</v>
      </c>
      <c r="C35" s="351" t="s">
        <v>921</v>
      </c>
      <c r="D35" s="452"/>
      <c r="E35" s="392">
        <v>2</v>
      </c>
      <c r="F35" s="458"/>
      <c r="H35" s="346"/>
      <c r="I35" s="346"/>
      <c r="J35" s="346"/>
      <c r="K35" s="346"/>
      <c r="L35" s="346"/>
      <c r="M35" s="346"/>
      <c r="N35" s="346"/>
      <c r="O35" s="346"/>
      <c r="P35" s="346"/>
      <c r="Q35" s="346"/>
      <c r="R35" s="346"/>
      <c r="S35" s="346"/>
      <c r="T35" s="346"/>
      <c r="U35" s="346"/>
      <c r="V35" s="346"/>
      <c r="W35" s="346"/>
      <c r="X35" s="346"/>
      <c r="Y35" s="346"/>
      <c r="Z35" s="346"/>
      <c r="AA35" s="346"/>
      <c r="AB35" s="346"/>
      <c r="AC35" s="346"/>
      <c r="AD35" s="346"/>
      <c r="AE35" s="346"/>
      <c r="AF35" s="346"/>
      <c r="AG35" s="346"/>
      <c r="AH35" s="346"/>
      <c r="AI35" s="346"/>
      <c r="AJ35" s="346"/>
      <c r="AK35" s="346"/>
      <c r="AL35" s="346"/>
      <c r="AM35" s="346"/>
      <c r="AN35" s="346"/>
      <c r="AO35" s="346"/>
      <c r="AP35" s="346"/>
      <c r="AQ35" s="346"/>
      <c r="AR35" s="346"/>
      <c r="AS35" s="346"/>
      <c r="AT35" s="346"/>
      <c r="AU35" s="346"/>
      <c r="AV35" s="346"/>
      <c r="AW35" s="346"/>
      <c r="AX35" s="346"/>
      <c r="AY35" s="346"/>
      <c r="AZ35" s="346"/>
      <c r="BA35" s="346"/>
      <c r="BB35" s="346"/>
      <c r="BC35" s="346"/>
      <c r="BD35" s="346"/>
      <c r="BE35" s="346"/>
      <c r="BF35" s="346"/>
      <c r="BG35" s="346"/>
      <c r="BH35" s="346"/>
      <c r="BI35" s="346"/>
      <c r="BJ35" s="346"/>
      <c r="BK35" s="346"/>
      <c r="BL35" s="346"/>
      <c r="BM35" s="346"/>
      <c r="BN35" s="346"/>
      <c r="BO35" s="346"/>
      <c r="BP35" s="346"/>
      <c r="BQ35" s="346"/>
      <c r="BR35" s="346"/>
      <c r="BS35" s="346"/>
      <c r="BT35" s="346"/>
      <c r="BU35" s="346"/>
      <c r="BV35" s="346"/>
      <c r="BW35" s="346"/>
      <c r="BX35" s="346"/>
      <c r="BY35" s="346"/>
      <c r="BZ35" s="346"/>
      <c r="CA35" s="346"/>
      <c r="CB35" s="346"/>
      <c r="CC35" s="346"/>
      <c r="CD35" s="346"/>
      <c r="CE35" s="346"/>
      <c r="CF35" s="346"/>
      <c r="CG35" s="346"/>
      <c r="CH35" s="346"/>
      <c r="CI35" s="346"/>
      <c r="CJ35" s="346"/>
      <c r="CK35" s="346"/>
      <c r="CL35" s="346"/>
      <c r="CM35" s="346"/>
      <c r="CN35" s="346"/>
      <c r="CO35" s="346"/>
      <c r="CP35" s="346"/>
      <c r="CQ35" s="346"/>
      <c r="CR35" s="346"/>
      <c r="CS35" s="346"/>
      <c r="CT35" s="346"/>
      <c r="CU35" s="346"/>
      <c r="CV35" s="346"/>
      <c r="CW35" s="346"/>
      <c r="CX35" s="346"/>
      <c r="CY35" s="346"/>
      <c r="CZ35" s="346"/>
      <c r="DA35" s="346"/>
    </row>
    <row r="36" spans="1:105" s="348" customFormat="1" ht="61.4" customHeight="1" x14ac:dyDescent="0.5">
      <c r="A36" s="385">
        <v>3</v>
      </c>
      <c r="B36" s="350" t="s">
        <v>4</v>
      </c>
      <c r="C36" s="351" t="s">
        <v>922</v>
      </c>
      <c r="D36" s="452"/>
      <c r="E36" s="392">
        <v>2</v>
      </c>
      <c r="F36" s="458"/>
      <c r="H36" s="346"/>
      <c r="I36" s="346"/>
      <c r="J36" s="346"/>
      <c r="K36" s="346"/>
      <c r="L36" s="346"/>
      <c r="M36" s="346"/>
      <c r="N36" s="346"/>
      <c r="O36" s="346"/>
      <c r="P36" s="346"/>
      <c r="Q36" s="346"/>
      <c r="R36" s="346"/>
      <c r="S36" s="346"/>
      <c r="T36" s="346"/>
      <c r="U36" s="346"/>
      <c r="V36" s="346"/>
      <c r="W36" s="346"/>
      <c r="X36" s="346"/>
      <c r="Y36" s="346"/>
      <c r="Z36" s="346"/>
      <c r="AA36" s="346"/>
      <c r="AB36" s="346"/>
      <c r="AC36" s="346"/>
      <c r="AD36" s="346"/>
      <c r="AE36" s="346"/>
      <c r="AF36" s="346"/>
      <c r="AG36" s="346"/>
      <c r="AH36" s="346"/>
      <c r="AI36" s="346"/>
      <c r="AJ36" s="346"/>
      <c r="AK36" s="346"/>
      <c r="AL36" s="346"/>
      <c r="AM36" s="346"/>
      <c r="AN36" s="346"/>
      <c r="AO36" s="346"/>
      <c r="AP36" s="346"/>
      <c r="AQ36" s="346"/>
      <c r="AR36" s="346"/>
      <c r="AS36" s="346"/>
      <c r="AT36" s="346"/>
      <c r="AU36" s="346"/>
      <c r="AV36" s="346"/>
      <c r="AW36" s="346"/>
      <c r="AX36" s="346"/>
      <c r="AY36" s="346"/>
      <c r="AZ36" s="346"/>
      <c r="BA36" s="346"/>
      <c r="BB36" s="346"/>
      <c r="BC36" s="346"/>
      <c r="BD36" s="346"/>
      <c r="BE36" s="346"/>
      <c r="BF36" s="346"/>
      <c r="BG36" s="346"/>
      <c r="BH36" s="346"/>
      <c r="BI36" s="346"/>
      <c r="BJ36" s="346"/>
      <c r="BK36" s="346"/>
      <c r="BL36" s="346"/>
      <c r="BM36" s="346"/>
      <c r="BN36" s="346"/>
      <c r="BO36" s="346"/>
      <c r="BP36" s="346"/>
      <c r="BQ36" s="346"/>
      <c r="BR36" s="346"/>
      <c r="BS36" s="346"/>
      <c r="BT36" s="346"/>
      <c r="BU36" s="346"/>
      <c r="BV36" s="346"/>
      <c r="BW36" s="346"/>
      <c r="BX36" s="346"/>
      <c r="BY36" s="346"/>
      <c r="BZ36" s="346"/>
      <c r="CA36" s="346"/>
      <c r="CB36" s="346"/>
      <c r="CC36" s="346"/>
      <c r="CD36" s="346"/>
      <c r="CE36" s="346"/>
      <c r="CF36" s="346"/>
      <c r="CG36" s="346"/>
      <c r="CH36" s="346"/>
      <c r="CI36" s="346"/>
      <c r="CJ36" s="346"/>
      <c r="CK36" s="346"/>
      <c r="CL36" s="346"/>
      <c r="CM36" s="346"/>
      <c r="CN36" s="346"/>
      <c r="CO36" s="346"/>
      <c r="CP36" s="346"/>
      <c r="CQ36" s="346"/>
      <c r="CR36" s="346"/>
      <c r="CS36" s="346"/>
      <c r="CT36" s="346"/>
      <c r="CU36" s="346"/>
      <c r="CV36" s="346"/>
      <c r="CW36" s="346"/>
      <c r="CX36" s="346"/>
      <c r="CY36" s="346"/>
      <c r="CZ36" s="346"/>
      <c r="DA36" s="346"/>
    </row>
    <row r="37" spans="1:105" s="348" customFormat="1" ht="51.05" customHeight="1" x14ac:dyDescent="0.5">
      <c r="A37" s="385">
        <v>4</v>
      </c>
      <c r="B37" s="350" t="s">
        <v>850</v>
      </c>
      <c r="C37" s="351" t="s">
        <v>925</v>
      </c>
      <c r="D37" s="452"/>
      <c r="E37" s="392">
        <v>1</v>
      </c>
      <c r="F37" s="458"/>
      <c r="H37" s="346"/>
      <c r="I37" s="346"/>
      <c r="J37" s="346"/>
      <c r="K37" s="346"/>
      <c r="L37" s="346"/>
      <c r="M37" s="346"/>
      <c r="N37" s="346"/>
      <c r="O37" s="346"/>
      <c r="P37" s="346"/>
      <c r="Q37" s="346"/>
      <c r="R37" s="346"/>
      <c r="S37" s="346"/>
      <c r="T37" s="346"/>
      <c r="U37" s="346"/>
      <c r="V37" s="346"/>
      <c r="W37" s="346"/>
      <c r="X37" s="346"/>
      <c r="Y37" s="346"/>
      <c r="Z37" s="346"/>
      <c r="AA37" s="346"/>
      <c r="AB37" s="346"/>
      <c r="AC37" s="346"/>
      <c r="AD37" s="346"/>
      <c r="AE37" s="346"/>
      <c r="AF37" s="346"/>
      <c r="AG37" s="346"/>
      <c r="AH37" s="346"/>
      <c r="AI37" s="346"/>
      <c r="AJ37" s="346"/>
      <c r="AK37" s="346"/>
      <c r="AL37" s="346"/>
      <c r="AM37" s="346"/>
      <c r="AN37" s="346"/>
      <c r="AO37" s="346"/>
      <c r="AP37" s="346"/>
      <c r="AQ37" s="346"/>
      <c r="AR37" s="346"/>
      <c r="AS37" s="346"/>
      <c r="AT37" s="346"/>
      <c r="AU37" s="346"/>
      <c r="AV37" s="346"/>
      <c r="AW37" s="346"/>
      <c r="AX37" s="346"/>
      <c r="AY37" s="346"/>
      <c r="AZ37" s="346"/>
      <c r="BA37" s="346"/>
      <c r="BB37" s="346"/>
      <c r="BC37" s="346"/>
      <c r="BD37" s="346"/>
      <c r="BE37" s="346"/>
      <c r="BF37" s="346"/>
      <c r="BG37" s="346"/>
      <c r="BH37" s="346"/>
      <c r="BI37" s="346"/>
      <c r="BJ37" s="346"/>
      <c r="BK37" s="346"/>
      <c r="BL37" s="346"/>
      <c r="BM37" s="346"/>
      <c r="BN37" s="346"/>
      <c r="BO37" s="346"/>
      <c r="BP37" s="346"/>
      <c r="BQ37" s="346"/>
      <c r="BR37" s="346"/>
      <c r="BS37" s="346"/>
      <c r="BT37" s="346"/>
      <c r="BU37" s="346"/>
      <c r="BV37" s="346"/>
      <c r="BW37" s="346"/>
      <c r="BX37" s="346"/>
      <c r="BY37" s="346"/>
      <c r="BZ37" s="346"/>
      <c r="CA37" s="346"/>
      <c r="CB37" s="346"/>
      <c r="CC37" s="346"/>
      <c r="CD37" s="346"/>
      <c r="CE37" s="346"/>
      <c r="CF37" s="346"/>
      <c r="CG37" s="346"/>
      <c r="CH37" s="346"/>
      <c r="CI37" s="346"/>
      <c r="CJ37" s="346"/>
      <c r="CK37" s="346"/>
      <c r="CL37" s="346"/>
      <c r="CM37" s="346"/>
      <c r="CN37" s="346"/>
      <c r="CO37" s="346"/>
      <c r="CP37" s="346"/>
      <c r="CQ37" s="346"/>
      <c r="CR37" s="346"/>
      <c r="CS37" s="346"/>
      <c r="CT37" s="346"/>
      <c r="CU37" s="346"/>
      <c r="CV37" s="346"/>
      <c r="CW37" s="346"/>
      <c r="CX37" s="346"/>
      <c r="CY37" s="346"/>
      <c r="CZ37" s="346"/>
      <c r="DA37" s="346"/>
    </row>
    <row r="38" spans="1:105" s="348" customFormat="1" ht="51.05" customHeight="1" x14ac:dyDescent="0.5">
      <c r="A38" s="385">
        <v>5</v>
      </c>
      <c r="B38" s="350" t="s">
        <v>898</v>
      </c>
      <c r="C38" s="351" t="s">
        <v>929</v>
      </c>
      <c r="D38" s="452"/>
      <c r="E38" s="392">
        <v>1</v>
      </c>
      <c r="F38" s="458"/>
      <c r="H38" s="346"/>
      <c r="I38" s="346"/>
      <c r="J38" s="346"/>
      <c r="K38" s="346"/>
      <c r="L38" s="346"/>
      <c r="M38" s="346"/>
      <c r="N38" s="346"/>
      <c r="O38" s="346"/>
      <c r="P38" s="346"/>
      <c r="Q38" s="346"/>
      <c r="R38" s="346"/>
      <c r="S38" s="346"/>
      <c r="T38" s="346"/>
      <c r="U38" s="346"/>
      <c r="V38" s="346"/>
      <c r="W38" s="346"/>
      <c r="X38" s="346"/>
      <c r="Y38" s="346"/>
      <c r="Z38" s="346"/>
      <c r="AA38" s="346"/>
      <c r="AB38" s="346"/>
      <c r="AC38" s="346"/>
      <c r="AD38" s="346"/>
      <c r="AE38" s="346"/>
      <c r="AF38" s="346"/>
      <c r="AG38" s="346"/>
      <c r="AH38" s="346"/>
      <c r="AI38" s="346"/>
      <c r="AJ38" s="346"/>
      <c r="AK38" s="346"/>
      <c r="AL38" s="346"/>
      <c r="AM38" s="346"/>
      <c r="AN38" s="346"/>
      <c r="AO38" s="346"/>
      <c r="AP38" s="346"/>
      <c r="AQ38" s="346"/>
      <c r="AR38" s="346"/>
      <c r="AS38" s="346"/>
      <c r="AT38" s="346"/>
      <c r="AU38" s="346"/>
      <c r="AV38" s="346"/>
      <c r="AW38" s="346"/>
      <c r="AX38" s="346"/>
      <c r="AY38" s="346"/>
      <c r="AZ38" s="346"/>
      <c r="BA38" s="346"/>
      <c r="BB38" s="346"/>
      <c r="BC38" s="346"/>
      <c r="BD38" s="346"/>
      <c r="BE38" s="346"/>
      <c r="BF38" s="346"/>
      <c r="BG38" s="346"/>
      <c r="BH38" s="346"/>
      <c r="BI38" s="346"/>
      <c r="BJ38" s="346"/>
      <c r="BK38" s="346"/>
      <c r="BL38" s="346"/>
      <c r="BM38" s="346"/>
      <c r="BN38" s="346"/>
      <c r="BO38" s="346"/>
      <c r="BP38" s="346"/>
      <c r="BQ38" s="346"/>
      <c r="BR38" s="346"/>
      <c r="BS38" s="346"/>
      <c r="BT38" s="346"/>
      <c r="BU38" s="346"/>
      <c r="BV38" s="346"/>
      <c r="BW38" s="346"/>
      <c r="BX38" s="346"/>
      <c r="BY38" s="346"/>
      <c r="BZ38" s="346"/>
      <c r="CA38" s="346"/>
      <c r="CB38" s="346"/>
      <c r="CC38" s="346"/>
      <c r="CD38" s="346"/>
      <c r="CE38" s="346"/>
      <c r="CF38" s="346"/>
      <c r="CG38" s="346"/>
      <c r="CH38" s="346"/>
      <c r="CI38" s="346"/>
      <c r="CJ38" s="346"/>
      <c r="CK38" s="346"/>
      <c r="CL38" s="346"/>
      <c r="CM38" s="346"/>
      <c r="CN38" s="346"/>
      <c r="CO38" s="346"/>
      <c r="CP38" s="346"/>
      <c r="CQ38" s="346"/>
      <c r="CR38" s="346"/>
      <c r="CS38" s="346"/>
      <c r="CT38" s="346"/>
      <c r="CU38" s="346"/>
      <c r="CV38" s="346"/>
      <c r="CW38" s="346"/>
      <c r="CX38" s="346"/>
      <c r="CY38" s="346"/>
      <c r="CZ38" s="346"/>
      <c r="DA38" s="346"/>
    </row>
    <row r="39" spans="1:105" s="348" customFormat="1" ht="49.3" customHeight="1" x14ac:dyDescent="0.5">
      <c r="A39" s="385">
        <v>6</v>
      </c>
      <c r="B39" s="350" t="s">
        <v>899</v>
      </c>
      <c r="C39" s="351" t="s">
        <v>930</v>
      </c>
      <c r="D39" s="452"/>
      <c r="E39" s="392">
        <v>1</v>
      </c>
      <c r="F39" s="458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6"/>
      <c r="U39" s="346"/>
      <c r="V39" s="346"/>
      <c r="W39" s="346"/>
      <c r="X39" s="346"/>
      <c r="Y39" s="346"/>
      <c r="Z39" s="346"/>
      <c r="AA39" s="346"/>
      <c r="AB39" s="346"/>
      <c r="AC39" s="346"/>
      <c r="AD39" s="346"/>
      <c r="AE39" s="346"/>
      <c r="AF39" s="346"/>
      <c r="AG39" s="346"/>
      <c r="AH39" s="346"/>
      <c r="AI39" s="346"/>
      <c r="AJ39" s="346"/>
      <c r="AK39" s="346"/>
      <c r="AL39" s="346"/>
      <c r="AM39" s="346"/>
      <c r="AN39" s="346"/>
      <c r="AO39" s="346"/>
      <c r="AP39" s="346"/>
      <c r="AQ39" s="346"/>
      <c r="AR39" s="346"/>
      <c r="AS39" s="346"/>
      <c r="AT39" s="346"/>
      <c r="AU39" s="346"/>
      <c r="AV39" s="346"/>
      <c r="AW39" s="346"/>
      <c r="AX39" s="346"/>
      <c r="AY39" s="346"/>
      <c r="AZ39" s="346"/>
      <c r="BA39" s="346"/>
      <c r="BB39" s="346"/>
      <c r="BC39" s="346"/>
      <c r="BD39" s="346"/>
      <c r="BE39" s="346"/>
      <c r="BF39" s="346"/>
      <c r="BG39" s="346"/>
      <c r="BH39" s="346"/>
      <c r="BI39" s="346"/>
      <c r="BJ39" s="346"/>
      <c r="BK39" s="346"/>
      <c r="BL39" s="346"/>
      <c r="BM39" s="346"/>
      <c r="BN39" s="346"/>
      <c r="BO39" s="346"/>
      <c r="BP39" s="346"/>
      <c r="BQ39" s="346"/>
      <c r="BR39" s="346"/>
      <c r="BS39" s="346"/>
      <c r="BT39" s="346"/>
      <c r="BU39" s="346"/>
      <c r="BV39" s="346"/>
      <c r="BW39" s="346"/>
      <c r="BX39" s="346"/>
      <c r="BY39" s="346"/>
      <c r="BZ39" s="346"/>
      <c r="CA39" s="346"/>
      <c r="CB39" s="346"/>
      <c r="CC39" s="346"/>
      <c r="CD39" s="346"/>
      <c r="CE39" s="346"/>
      <c r="CF39" s="346"/>
      <c r="CG39" s="346"/>
      <c r="CH39" s="346"/>
      <c r="CI39" s="346"/>
      <c r="CJ39" s="346"/>
      <c r="CK39" s="346"/>
      <c r="CL39" s="346"/>
      <c r="CM39" s="346"/>
      <c r="CN39" s="346"/>
      <c r="CO39" s="346"/>
      <c r="CP39" s="346"/>
      <c r="CQ39" s="346"/>
      <c r="CR39" s="346"/>
      <c r="CS39" s="346"/>
      <c r="CT39" s="346"/>
      <c r="CU39" s="346"/>
      <c r="CV39" s="346"/>
      <c r="CW39" s="346"/>
      <c r="CX39" s="346"/>
      <c r="CY39" s="346"/>
      <c r="CZ39" s="346"/>
      <c r="DA39" s="346"/>
    </row>
    <row r="40" spans="1:105" s="348" customFormat="1" ht="59.95" customHeight="1" x14ac:dyDescent="0.5">
      <c r="A40" s="385">
        <v>7</v>
      </c>
      <c r="B40" s="350" t="s">
        <v>901</v>
      </c>
      <c r="C40" s="351" t="s">
        <v>935</v>
      </c>
      <c r="D40" s="452"/>
      <c r="E40" s="392">
        <v>1</v>
      </c>
      <c r="F40" s="458"/>
      <c r="H40" s="346"/>
      <c r="I40" s="346"/>
      <c r="J40" s="346"/>
      <c r="K40" s="346"/>
      <c r="L40" s="346"/>
      <c r="M40" s="346"/>
      <c r="N40" s="346"/>
      <c r="O40" s="346"/>
      <c r="P40" s="346"/>
      <c r="Q40" s="346"/>
      <c r="R40" s="346"/>
      <c r="S40" s="346"/>
      <c r="T40" s="346"/>
      <c r="U40" s="346"/>
      <c r="V40" s="346"/>
      <c r="W40" s="346"/>
      <c r="X40" s="346"/>
      <c r="Y40" s="346"/>
      <c r="Z40" s="346"/>
      <c r="AA40" s="346"/>
      <c r="AB40" s="346"/>
      <c r="AC40" s="346"/>
      <c r="AD40" s="346"/>
      <c r="AE40" s="346"/>
      <c r="AF40" s="346"/>
      <c r="AG40" s="346"/>
      <c r="AH40" s="346"/>
      <c r="AI40" s="346"/>
      <c r="AJ40" s="346"/>
      <c r="AK40" s="346"/>
      <c r="AL40" s="346"/>
      <c r="AM40" s="346"/>
      <c r="AN40" s="346"/>
      <c r="AO40" s="346"/>
      <c r="AP40" s="346"/>
      <c r="AQ40" s="346"/>
      <c r="AR40" s="346"/>
      <c r="AS40" s="346"/>
      <c r="AT40" s="346"/>
      <c r="AU40" s="346"/>
      <c r="AV40" s="346"/>
      <c r="AW40" s="346"/>
      <c r="AX40" s="346"/>
      <c r="AY40" s="346"/>
      <c r="AZ40" s="346"/>
      <c r="BA40" s="346"/>
      <c r="BB40" s="346"/>
      <c r="BC40" s="346"/>
      <c r="BD40" s="346"/>
      <c r="BE40" s="346"/>
      <c r="BF40" s="346"/>
      <c r="BG40" s="346"/>
      <c r="BH40" s="346"/>
      <c r="BI40" s="346"/>
      <c r="BJ40" s="346"/>
      <c r="BK40" s="346"/>
      <c r="BL40" s="346"/>
      <c r="BM40" s="346"/>
      <c r="BN40" s="346"/>
      <c r="BO40" s="346"/>
      <c r="BP40" s="346"/>
      <c r="BQ40" s="346"/>
      <c r="BR40" s="346"/>
      <c r="BS40" s="346"/>
      <c r="BT40" s="346"/>
      <c r="BU40" s="346"/>
      <c r="BV40" s="346"/>
      <c r="BW40" s="346"/>
      <c r="BX40" s="346"/>
      <c r="BY40" s="346"/>
      <c r="BZ40" s="346"/>
      <c r="CA40" s="346"/>
      <c r="CB40" s="346"/>
      <c r="CC40" s="346"/>
      <c r="CD40" s="346"/>
      <c r="CE40" s="346"/>
      <c r="CF40" s="346"/>
      <c r="CG40" s="346"/>
      <c r="CH40" s="346"/>
      <c r="CI40" s="346"/>
      <c r="CJ40" s="346"/>
      <c r="CK40" s="346"/>
      <c r="CL40" s="346"/>
      <c r="CM40" s="346"/>
      <c r="CN40" s="346"/>
      <c r="CO40" s="346"/>
      <c r="CP40" s="346"/>
      <c r="CQ40" s="346"/>
      <c r="CR40" s="346"/>
      <c r="CS40" s="346"/>
      <c r="CT40" s="346"/>
      <c r="CU40" s="346"/>
      <c r="CV40" s="346"/>
      <c r="CW40" s="346"/>
      <c r="CX40" s="346"/>
      <c r="CY40" s="346"/>
      <c r="CZ40" s="346"/>
      <c r="DA40" s="346"/>
    </row>
    <row r="41" spans="1:105" s="348" customFormat="1" ht="48.05" customHeight="1" x14ac:dyDescent="0.5">
      <c r="A41" s="385">
        <v>8</v>
      </c>
      <c r="B41" s="350" t="s">
        <v>902</v>
      </c>
      <c r="C41" s="351" t="s">
        <v>936</v>
      </c>
      <c r="D41" s="452"/>
      <c r="E41" s="392">
        <v>1</v>
      </c>
      <c r="F41" s="458"/>
      <c r="H41" s="346"/>
      <c r="I41" s="346"/>
      <c r="J41" s="346"/>
      <c r="K41" s="346"/>
      <c r="L41" s="346"/>
      <c r="M41" s="346"/>
      <c r="N41" s="346"/>
      <c r="O41" s="346"/>
      <c r="P41" s="346"/>
      <c r="Q41" s="346"/>
      <c r="R41" s="346"/>
      <c r="S41" s="346"/>
      <c r="T41" s="346"/>
      <c r="U41" s="346"/>
      <c r="V41" s="346"/>
      <c r="W41" s="346"/>
      <c r="X41" s="346"/>
      <c r="Y41" s="346"/>
      <c r="Z41" s="346"/>
      <c r="AA41" s="346"/>
      <c r="AB41" s="346"/>
      <c r="AC41" s="346"/>
      <c r="AD41" s="346"/>
      <c r="AE41" s="346"/>
      <c r="AF41" s="346"/>
      <c r="AG41" s="346"/>
      <c r="AH41" s="346"/>
      <c r="AI41" s="346"/>
      <c r="AJ41" s="346"/>
      <c r="AK41" s="346"/>
      <c r="AL41" s="346"/>
      <c r="AM41" s="346"/>
      <c r="AN41" s="346"/>
      <c r="AO41" s="346"/>
      <c r="AP41" s="346"/>
      <c r="AQ41" s="346"/>
      <c r="AR41" s="346"/>
      <c r="AS41" s="346"/>
      <c r="AT41" s="346"/>
      <c r="AU41" s="346"/>
      <c r="AV41" s="346"/>
      <c r="AW41" s="346"/>
      <c r="AX41" s="346"/>
      <c r="AY41" s="346"/>
      <c r="AZ41" s="346"/>
      <c r="BA41" s="346"/>
      <c r="BB41" s="346"/>
      <c r="BC41" s="346"/>
      <c r="BD41" s="346"/>
      <c r="BE41" s="346"/>
      <c r="BF41" s="346"/>
      <c r="BG41" s="346"/>
      <c r="BH41" s="346"/>
      <c r="BI41" s="346"/>
      <c r="BJ41" s="346"/>
      <c r="BK41" s="346"/>
      <c r="BL41" s="346"/>
      <c r="BM41" s="346"/>
      <c r="BN41" s="346"/>
      <c r="BO41" s="346"/>
      <c r="BP41" s="346"/>
      <c r="BQ41" s="346"/>
      <c r="BR41" s="346"/>
      <c r="BS41" s="346"/>
      <c r="BT41" s="346"/>
      <c r="BU41" s="346"/>
      <c r="BV41" s="346"/>
      <c r="BW41" s="346"/>
      <c r="BX41" s="346"/>
      <c r="BY41" s="346"/>
      <c r="BZ41" s="346"/>
      <c r="CA41" s="346"/>
      <c r="CB41" s="346"/>
      <c r="CC41" s="346"/>
      <c r="CD41" s="346"/>
      <c r="CE41" s="346"/>
      <c r="CF41" s="346"/>
      <c r="CG41" s="346"/>
      <c r="CH41" s="346"/>
      <c r="CI41" s="346"/>
      <c r="CJ41" s="346"/>
      <c r="CK41" s="346"/>
      <c r="CL41" s="346"/>
      <c r="CM41" s="346"/>
      <c r="CN41" s="346"/>
      <c r="CO41" s="346"/>
      <c r="CP41" s="346"/>
      <c r="CQ41" s="346"/>
      <c r="CR41" s="346"/>
      <c r="CS41" s="346"/>
      <c r="CT41" s="346"/>
      <c r="CU41" s="346"/>
      <c r="CV41" s="346"/>
      <c r="CW41" s="346"/>
      <c r="CX41" s="346"/>
      <c r="CY41" s="346"/>
      <c r="CZ41" s="346"/>
      <c r="DA41" s="346"/>
    </row>
    <row r="42" spans="1:105" s="348" customFormat="1" ht="56.7" customHeight="1" x14ac:dyDescent="0.5">
      <c r="A42" s="385">
        <v>9</v>
      </c>
      <c r="B42" s="350" t="s">
        <v>903</v>
      </c>
      <c r="C42" s="351" t="s">
        <v>937</v>
      </c>
      <c r="D42" s="452"/>
      <c r="E42" s="392">
        <v>1</v>
      </c>
      <c r="F42" s="458"/>
      <c r="H42" s="346"/>
      <c r="I42" s="346"/>
      <c r="J42" s="346"/>
      <c r="K42" s="346"/>
      <c r="L42" s="346"/>
      <c r="M42" s="346"/>
      <c r="N42" s="346"/>
      <c r="O42" s="346"/>
      <c r="P42" s="346"/>
      <c r="Q42" s="346"/>
      <c r="R42" s="346"/>
      <c r="S42" s="346"/>
      <c r="T42" s="346"/>
      <c r="U42" s="346"/>
      <c r="V42" s="346"/>
      <c r="W42" s="346"/>
      <c r="X42" s="346"/>
      <c r="Y42" s="346"/>
      <c r="Z42" s="346"/>
      <c r="AA42" s="346"/>
      <c r="AB42" s="346"/>
      <c r="AC42" s="346"/>
      <c r="AD42" s="346"/>
      <c r="AE42" s="346"/>
      <c r="AF42" s="346"/>
      <c r="AG42" s="346"/>
      <c r="AH42" s="346"/>
      <c r="AI42" s="346"/>
      <c r="AJ42" s="346"/>
      <c r="AK42" s="346"/>
      <c r="AL42" s="346"/>
      <c r="AM42" s="346"/>
      <c r="AN42" s="346"/>
      <c r="AO42" s="346"/>
      <c r="AP42" s="346"/>
      <c r="AQ42" s="346"/>
      <c r="AR42" s="346"/>
      <c r="AS42" s="346"/>
      <c r="AT42" s="346"/>
      <c r="AU42" s="346"/>
      <c r="AV42" s="346"/>
      <c r="AW42" s="346"/>
      <c r="AX42" s="346"/>
      <c r="AY42" s="346"/>
      <c r="AZ42" s="346"/>
      <c r="BA42" s="346"/>
      <c r="BB42" s="346"/>
      <c r="BC42" s="346"/>
      <c r="BD42" s="346"/>
      <c r="BE42" s="346"/>
      <c r="BF42" s="346"/>
      <c r="BG42" s="346"/>
      <c r="BH42" s="346"/>
      <c r="BI42" s="346"/>
      <c r="BJ42" s="346"/>
      <c r="BK42" s="346"/>
      <c r="BL42" s="346"/>
      <c r="BM42" s="346"/>
      <c r="BN42" s="346"/>
      <c r="BO42" s="346"/>
      <c r="BP42" s="346"/>
      <c r="BQ42" s="346"/>
      <c r="BR42" s="346"/>
      <c r="BS42" s="346"/>
      <c r="BT42" s="346"/>
      <c r="BU42" s="346"/>
      <c r="BV42" s="346"/>
      <c r="BW42" s="346"/>
      <c r="BX42" s="346"/>
      <c r="BY42" s="346"/>
      <c r="BZ42" s="346"/>
      <c r="CA42" s="346"/>
      <c r="CB42" s="346"/>
      <c r="CC42" s="346"/>
      <c r="CD42" s="346"/>
      <c r="CE42" s="346"/>
      <c r="CF42" s="346"/>
      <c r="CG42" s="346"/>
      <c r="CH42" s="346"/>
      <c r="CI42" s="346"/>
      <c r="CJ42" s="346"/>
      <c r="CK42" s="346"/>
      <c r="CL42" s="346"/>
      <c r="CM42" s="346"/>
      <c r="CN42" s="346"/>
      <c r="CO42" s="346"/>
      <c r="CP42" s="346"/>
      <c r="CQ42" s="346"/>
      <c r="CR42" s="346"/>
      <c r="CS42" s="346"/>
      <c r="CT42" s="346"/>
      <c r="CU42" s="346"/>
      <c r="CV42" s="346"/>
      <c r="CW42" s="346"/>
      <c r="CX42" s="346"/>
      <c r="CY42" s="346"/>
      <c r="CZ42" s="346"/>
      <c r="DA42" s="346"/>
    </row>
    <row r="43" spans="1:105" s="348" customFormat="1" ht="55.45" customHeight="1" x14ac:dyDescent="0.5">
      <c r="A43" s="385">
        <v>10</v>
      </c>
      <c r="B43" s="350" t="s">
        <v>604</v>
      </c>
      <c r="C43" s="351" t="s">
        <v>938</v>
      </c>
      <c r="D43" s="452"/>
      <c r="E43" s="394">
        <v>1</v>
      </c>
      <c r="F43" s="458"/>
      <c r="H43" s="346"/>
      <c r="I43" s="346"/>
      <c r="J43" s="346"/>
      <c r="K43" s="346"/>
      <c r="L43" s="346"/>
      <c r="M43" s="346"/>
      <c r="N43" s="346"/>
      <c r="O43" s="346"/>
      <c r="P43" s="346"/>
      <c r="Q43" s="346"/>
      <c r="R43" s="346"/>
      <c r="S43" s="346"/>
      <c r="T43" s="346"/>
      <c r="U43" s="346"/>
      <c r="V43" s="346"/>
      <c r="W43" s="346"/>
      <c r="X43" s="346"/>
      <c r="Y43" s="346"/>
      <c r="Z43" s="346"/>
      <c r="AA43" s="346"/>
      <c r="AB43" s="346"/>
      <c r="AC43" s="346"/>
      <c r="AD43" s="346"/>
      <c r="AE43" s="346"/>
      <c r="AF43" s="346"/>
      <c r="AG43" s="346"/>
      <c r="AH43" s="346"/>
      <c r="AI43" s="346"/>
      <c r="AJ43" s="346"/>
      <c r="AK43" s="346"/>
      <c r="AL43" s="346"/>
      <c r="AM43" s="346"/>
      <c r="AN43" s="346"/>
      <c r="AO43" s="346"/>
      <c r="AP43" s="346"/>
      <c r="AQ43" s="346"/>
      <c r="AR43" s="346"/>
      <c r="AS43" s="346"/>
      <c r="AT43" s="346"/>
      <c r="AU43" s="346"/>
      <c r="AV43" s="346"/>
      <c r="AW43" s="346"/>
      <c r="AX43" s="346"/>
      <c r="AY43" s="346"/>
      <c r="AZ43" s="346"/>
      <c r="BA43" s="346"/>
      <c r="BB43" s="346"/>
      <c r="BC43" s="346"/>
      <c r="BD43" s="346"/>
      <c r="BE43" s="346"/>
      <c r="BF43" s="346"/>
      <c r="BG43" s="346"/>
      <c r="BH43" s="346"/>
      <c r="BI43" s="346"/>
      <c r="BJ43" s="346"/>
      <c r="BK43" s="346"/>
      <c r="BL43" s="346"/>
      <c r="BM43" s="346"/>
      <c r="BN43" s="346"/>
      <c r="BO43" s="346"/>
      <c r="BP43" s="346"/>
      <c r="BQ43" s="346"/>
      <c r="BR43" s="346"/>
      <c r="BS43" s="346"/>
      <c r="BT43" s="346"/>
      <c r="BU43" s="346"/>
      <c r="BV43" s="346"/>
      <c r="BW43" s="346"/>
      <c r="BX43" s="346"/>
      <c r="BY43" s="346"/>
      <c r="BZ43" s="346"/>
      <c r="CA43" s="346"/>
      <c r="CB43" s="346"/>
      <c r="CC43" s="346"/>
      <c r="CD43" s="346"/>
      <c r="CE43" s="346"/>
      <c r="CF43" s="346"/>
      <c r="CG43" s="346"/>
      <c r="CH43" s="346"/>
      <c r="CI43" s="346"/>
      <c r="CJ43" s="346"/>
      <c r="CK43" s="346"/>
      <c r="CL43" s="346"/>
      <c r="CM43" s="346"/>
      <c r="CN43" s="346"/>
      <c r="CO43" s="346"/>
      <c r="CP43" s="346"/>
      <c r="CQ43" s="346"/>
      <c r="CR43" s="346"/>
      <c r="CS43" s="346"/>
      <c r="CT43" s="346"/>
      <c r="CU43" s="346"/>
      <c r="CV43" s="346"/>
      <c r="CW43" s="346"/>
      <c r="CX43" s="346"/>
      <c r="CY43" s="346"/>
      <c r="CZ43" s="346"/>
      <c r="DA43" s="346"/>
    </row>
    <row r="44" spans="1:105" s="348" customFormat="1" ht="49.3" customHeight="1" x14ac:dyDescent="0.5">
      <c r="A44" s="385">
        <v>11</v>
      </c>
      <c r="B44" s="350" t="s">
        <v>638</v>
      </c>
      <c r="C44" s="351" t="s">
        <v>944</v>
      </c>
      <c r="D44" s="452"/>
      <c r="E44" s="394">
        <v>2</v>
      </c>
      <c r="F44" s="458"/>
      <c r="H44" s="346"/>
      <c r="I44" s="346"/>
      <c r="J44" s="346"/>
      <c r="K44" s="346"/>
      <c r="L44" s="346"/>
      <c r="M44" s="346"/>
      <c r="N44" s="346"/>
      <c r="O44" s="346"/>
      <c r="P44" s="346"/>
      <c r="Q44" s="346"/>
      <c r="R44" s="346"/>
      <c r="S44" s="346"/>
      <c r="T44" s="346"/>
      <c r="U44" s="346"/>
      <c r="V44" s="346"/>
      <c r="W44" s="346"/>
      <c r="X44" s="346"/>
      <c r="Y44" s="346"/>
      <c r="Z44" s="346"/>
      <c r="AA44" s="346"/>
      <c r="AB44" s="346"/>
      <c r="AC44" s="346"/>
      <c r="AD44" s="346"/>
      <c r="AE44" s="346"/>
      <c r="AF44" s="346"/>
      <c r="AG44" s="346"/>
      <c r="AH44" s="346"/>
      <c r="AI44" s="346"/>
      <c r="AJ44" s="346"/>
      <c r="AK44" s="346"/>
      <c r="AL44" s="346"/>
      <c r="AM44" s="346"/>
      <c r="AN44" s="346"/>
      <c r="AO44" s="346"/>
      <c r="AP44" s="346"/>
      <c r="AQ44" s="346"/>
      <c r="AR44" s="346"/>
      <c r="AS44" s="346"/>
      <c r="AT44" s="346"/>
      <c r="AU44" s="346"/>
      <c r="AV44" s="346"/>
      <c r="AW44" s="346"/>
      <c r="AX44" s="346"/>
      <c r="AY44" s="346"/>
      <c r="AZ44" s="346"/>
      <c r="BA44" s="346"/>
      <c r="BB44" s="346"/>
      <c r="BC44" s="346"/>
      <c r="BD44" s="346"/>
      <c r="BE44" s="346"/>
      <c r="BF44" s="346"/>
      <c r="BG44" s="346"/>
      <c r="BH44" s="346"/>
      <c r="BI44" s="346"/>
      <c r="BJ44" s="346"/>
      <c r="BK44" s="346"/>
      <c r="BL44" s="346"/>
      <c r="BM44" s="346"/>
      <c r="BN44" s="346"/>
      <c r="BO44" s="346"/>
      <c r="BP44" s="346"/>
      <c r="BQ44" s="346"/>
      <c r="BR44" s="346"/>
      <c r="BS44" s="346"/>
      <c r="BT44" s="346"/>
      <c r="BU44" s="346"/>
      <c r="BV44" s="346"/>
      <c r="BW44" s="346"/>
      <c r="BX44" s="346"/>
      <c r="BY44" s="346"/>
      <c r="BZ44" s="346"/>
      <c r="CA44" s="346"/>
      <c r="CB44" s="346"/>
      <c r="CC44" s="346"/>
      <c r="CD44" s="346"/>
      <c r="CE44" s="346"/>
      <c r="CF44" s="346"/>
      <c r="CG44" s="346"/>
      <c r="CH44" s="346"/>
      <c r="CI44" s="346"/>
      <c r="CJ44" s="346"/>
      <c r="CK44" s="346"/>
      <c r="CL44" s="346"/>
      <c r="CM44" s="346"/>
      <c r="CN44" s="346"/>
      <c r="CO44" s="346"/>
      <c r="CP44" s="346"/>
      <c r="CQ44" s="346"/>
      <c r="CR44" s="346"/>
      <c r="CS44" s="346"/>
      <c r="CT44" s="346"/>
      <c r="CU44" s="346"/>
      <c r="CV44" s="346"/>
      <c r="CW44" s="346"/>
      <c r="CX44" s="346"/>
      <c r="CY44" s="346"/>
      <c r="CZ44" s="346"/>
      <c r="DA44" s="346"/>
    </row>
    <row r="45" spans="1:105" s="348" customFormat="1" ht="49.3" customHeight="1" thickBot="1" x14ac:dyDescent="0.55000000000000004">
      <c r="A45" s="386">
        <v>12</v>
      </c>
      <c r="B45" s="397" t="s">
        <v>633</v>
      </c>
      <c r="C45" s="388" t="s">
        <v>946</v>
      </c>
      <c r="D45" s="453"/>
      <c r="E45" s="398">
        <v>1</v>
      </c>
      <c r="F45" s="459"/>
      <c r="G45" s="347"/>
      <c r="H45" s="347"/>
      <c r="I45" s="347"/>
      <c r="J45" s="347"/>
      <c r="K45" s="347"/>
      <c r="L45" s="347"/>
      <c r="M45" s="347"/>
      <c r="N45" s="347"/>
      <c r="O45" s="347"/>
      <c r="P45" s="347"/>
      <c r="Q45" s="347"/>
      <c r="R45" s="347"/>
      <c r="S45" s="347"/>
      <c r="T45" s="347"/>
      <c r="U45" s="347"/>
      <c r="V45" s="347"/>
      <c r="W45" s="347"/>
      <c r="X45" s="347"/>
      <c r="Y45" s="347"/>
      <c r="Z45" s="347"/>
      <c r="AA45" s="347"/>
      <c r="AB45" s="347"/>
      <c r="AC45" s="347"/>
      <c r="AD45" s="347"/>
      <c r="AE45" s="347"/>
      <c r="AF45" s="347"/>
      <c r="AG45" s="347"/>
      <c r="AH45" s="347"/>
      <c r="AI45" s="347"/>
      <c r="AJ45" s="347"/>
      <c r="AK45" s="347"/>
      <c r="AL45" s="347"/>
      <c r="AM45" s="347"/>
      <c r="AN45" s="347"/>
      <c r="AO45" s="347"/>
      <c r="AP45" s="347"/>
      <c r="AQ45" s="347"/>
      <c r="AR45" s="347"/>
      <c r="AS45" s="347"/>
      <c r="AT45" s="347"/>
      <c r="AU45" s="347"/>
      <c r="AV45" s="347"/>
      <c r="AW45" s="347"/>
      <c r="AX45" s="347"/>
      <c r="AY45" s="347"/>
      <c r="AZ45" s="347"/>
      <c r="BA45" s="347"/>
      <c r="BB45" s="347"/>
      <c r="BC45" s="347"/>
      <c r="BD45" s="347"/>
      <c r="BE45" s="347"/>
      <c r="BF45" s="347"/>
      <c r="BG45" s="347"/>
      <c r="BH45" s="347"/>
      <c r="BI45" s="347"/>
      <c r="BJ45" s="347"/>
      <c r="BK45" s="347"/>
      <c r="BL45" s="347"/>
      <c r="BM45" s="347"/>
      <c r="BN45" s="347"/>
      <c r="BO45" s="347"/>
      <c r="BP45" s="347"/>
      <c r="BQ45" s="347"/>
      <c r="BR45" s="347"/>
      <c r="BS45" s="347"/>
      <c r="BT45" s="347"/>
      <c r="BU45" s="347"/>
      <c r="BV45" s="347"/>
      <c r="BW45" s="347"/>
      <c r="BX45" s="347"/>
      <c r="BY45" s="347"/>
      <c r="BZ45" s="347"/>
      <c r="CA45" s="347"/>
      <c r="CB45" s="347"/>
      <c r="CC45" s="347"/>
      <c r="CD45" s="347"/>
      <c r="CE45" s="347"/>
      <c r="CF45" s="347"/>
      <c r="CG45" s="347"/>
      <c r="CH45" s="347"/>
      <c r="CI45" s="347"/>
      <c r="CJ45" s="347"/>
      <c r="CK45" s="347"/>
      <c r="CL45" s="347"/>
      <c r="CM45" s="347"/>
      <c r="CN45" s="347"/>
      <c r="CO45" s="347"/>
      <c r="CP45" s="347"/>
      <c r="CQ45" s="347"/>
      <c r="CR45" s="347"/>
      <c r="CS45" s="347"/>
      <c r="CT45" s="347"/>
      <c r="CU45" s="347"/>
      <c r="CV45" s="347"/>
      <c r="CW45" s="347"/>
      <c r="CX45" s="346"/>
      <c r="CY45" s="346"/>
      <c r="CZ45" s="346"/>
      <c r="DA45" s="346"/>
    </row>
    <row r="46" spans="1:105" s="348" customFormat="1" ht="49.3" customHeight="1" x14ac:dyDescent="0.5">
      <c r="A46" s="363">
        <v>1</v>
      </c>
      <c r="B46" s="380" t="s">
        <v>864</v>
      </c>
      <c r="C46" s="381" t="s">
        <v>949</v>
      </c>
      <c r="D46" s="452" t="s">
        <v>815</v>
      </c>
      <c r="E46" s="394">
        <v>1</v>
      </c>
      <c r="F46" s="461">
        <f>SUM(E46:E53)</f>
        <v>12</v>
      </c>
      <c r="H46" s="346"/>
      <c r="I46" s="346"/>
      <c r="J46" s="346"/>
      <c r="K46" s="346"/>
      <c r="L46" s="346"/>
      <c r="M46" s="346"/>
      <c r="N46" s="346"/>
      <c r="O46" s="346"/>
      <c r="P46" s="346"/>
      <c r="Q46" s="346"/>
      <c r="R46" s="346"/>
      <c r="S46" s="346"/>
      <c r="T46" s="346"/>
      <c r="U46" s="346"/>
      <c r="V46" s="346"/>
      <c r="W46" s="346"/>
      <c r="X46" s="346"/>
      <c r="Y46" s="346"/>
      <c r="Z46" s="346"/>
      <c r="AA46" s="346"/>
      <c r="AB46" s="346"/>
      <c r="AC46" s="346"/>
      <c r="AD46" s="346"/>
      <c r="AE46" s="346"/>
      <c r="AF46" s="346"/>
      <c r="AG46" s="346"/>
      <c r="AH46" s="346"/>
      <c r="AI46" s="346"/>
      <c r="AJ46" s="346"/>
      <c r="AK46" s="346"/>
      <c r="AL46" s="346"/>
      <c r="AM46" s="346"/>
      <c r="AN46" s="346"/>
      <c r="AO46" s="346"/>
      <c r="AP46" s="346"/>
      <c r="AQ46" s="346"/>
      <c r="AR46" s="346"/>
      <c r="AS46" s="346"/>
      <c r="AT46" s="346"/>
      <c r="AU46" s="346"/>
      <c r="AV46" s="346"/>
      <c r="AW46" s="346"/>
      <c r="AX46" s="346"/>
      <c r="AY46" s="346"/>
      <c r="AZ46" s="346"/>
      <c r="BA46" s="346"/>
      <c r="BB46" s="346"/>
      <c r="BC46" s="346"/>
      <c r="BD46" s="346"/>
      <c r="BE46" s="346"/>
      <c r="BF46" s="346"/>
      <c r="BG46" s="346"/>
      <c r="BH46" s="346"/>
      <c r="BI46" s="346"/>
      <c r="BJ46" s="346"/>
      <c r="BK46" s="346"/>
      <c r="BL46" s="346"/>
      <c r="BM46" s="346"/>
      <c r="BN46" s="346"/>
      <c r="BO46" s="346"/>
      <c r="BP46" s="346"/>
      <c r="BQ46" s="346"/>
      <c r="BR46" s="346"/>
      <c r="BS46" s="346"/>
      <c r="BT46" s="346"/>
      <c r="BU46" s="346"/>
      <c r="BV46" s="346"/>
      <c r="BW46" s="346"/>
      <c r="BX46" s="346"/>
      <c r="BY46" s="346"/>
      <c r="BZ46" s="346"/>
      <c r="CA46" s="346"/>
      <c r="CB46" s="346"/>
      <c r="CC46" s="346"/>
      <c r="CD46" s="346"/>
      <c r="CE46" s="346"/>
      <c r="CF46" s="346"/>
      <c r="CG46" s="346"/>
      <c r="CH46" s="346"/>
      <c r="CI46" s="346"/>
      <c r="CJ46" s="346"/>
      <c r="CK46" s="346"/>
      <c r="CL46" s="346"/>
      <c r="CM46" s="346"/>
      <c r="CN46" s="346"/>
      <c r="CO46" s="346"/>
      <c r="CP46" s="346"/>
      <c r="CQ46" s="346"/>
      <c r="CR46" s="346"/>
      <c r="CS46" s="346"/>
      <c r="CT46" s="346"/>
      <c r="CU46" s="346"/>
      <c r="CV46" s="346"/>
      <c r="CW46" s="346"/>
      <c r="CX46" s="346"/>
      <c r="CY46" s="346"/>
      <c r="CZ46" s="346"/>
      <c r="DA46" s="346"/>
    </row>
    <row r="47" spans="1:105" s="348" customFormat="1" ht="49.3" customHeight="1" x14ac:dyDescent="0.5">
      <c r="A47" s="331">
        <v>2</v>
      </c>
      <c r="B47" s="350" t="s">
        <v>865</v>
      </c>
      <c r="C47" s="351" t="s">
        <v>951</v>
      </c>
      <c r="D47" s="452"/>
      <c r="E47" s="394">
        <v>1</v>
      </c>
      <c r="F47" s="461"/>
      <c r="H47" s="346"/>
      <c r="I47" s="346"/>
      <c r="J47" s="346"/>
      <c r="K47" s="346"/>
      <c r="L47" s="346"/>
      <c r="M47" s="346"/>
      <c r="N47" s="346"/>
      <c r="O47" s="346"/>
      <c r="P47" s="346"/>
      <c r="Q47" s="346"/>
      <c r="R47" s="346"/>
      <c r="S47" s="346"/>
      <c r="T47" s="346"/>
      <c r="U47" s="346"/>
      <c r="V47" s="346"/>
      <c r="W47" s="346"/>
      <c r="X47" s="346"/>
      <c r="Y47" s="346"/>
      <c r="Z47" s="346"/>
      <c r="AA47" s="346"/>
      <c r="AB47" s="346"/>
      <c r="AC47" s="346"/>
      <c r="AD47" s="346"/>
      <c r="AE47" s="346"/>
      <c r="AF47" s="346"/>
      <c r="AG47" s="346"/>
      <c r="AH47" s="346"/>
      <c r="AI47" s="346"/>
      <c r="AJ47" s="346"/>
      <c r="AK47" s="346"/>
      <c r="AL47" s="346"/>
      <c r="AM47" s="346"/>
      <c r="AN47" s="346"/>
      <c r="AO47" s="346"/>
      <c r="AP47" s="346"/>
      <c r="AQ47" s="346"/>
      <c r="AR47" s="346"/>
      <c r="AS47" s="346"/>
      <c r="AT47" s="346"/>
      <c r="AU47" s="346"/>
      <c r="AV47" s="346"/>
      <c r="AW47" s="346"/>
      <c r="AX47" s="346"/>
      <c r="AY47" s="346"/>
      <c r="AZ47" s="346"/>
      <c r="BA47" s="346"/>
      <c r="BB47" s="346"/>
      <c r="BC47" s="346"/>
      <c r="BD47" s="346"/>
      <c r="BE47" s="346"/>
      <c r="BF47" s="346"/>
      <c r="BG47" s="346"/>
      <c r="BH47" s="346"/>
      <c r="BI47" s="346"/>
      <c r="BJ47" s="346"/>
      <c r="BK47" s="346"/>
      <c r="BL47" s="346"/>
      <c r="BM47" s="346"/>
      <c r="BN47" s="346"/>
      <c r="BO47" s="346"/>
      <c r="BP47" s="346"/>
      <c r="BQ47" s="346"/>
      <c r="BR47" s="346"/>
      <c r="BS47" s="346"/>
      <c r="BT47" s="346"/>
      <c r="BU47" s="346"/>
      <c r="BV47" s="346"/>
      <c r="BW47" s="346"/>
      <c r="BX47" s="346"/>
      <c r="BY47" s="346"/>
      <c r="BZ47" s="346"/>
      <c r="CA47" s="346"/>
      <c r="CB47" s="346"/>
      <c r="CC47" s="346"/>
      <c r="CD47" s="346"/>
      <c r="CE47" s="346"/>
      <c r="CF47" s="346"/>
      <c r="CG47" s="346"/>
      <c r="CH47" s="346"/>
      <c r="CI47" s="346"/>
      <c r="CJ47" s="346"/>
      <c r="CK47" s="346"/>
      <c r="CL47" s="346"/>
      <c r="CM47" s="346"/>
      <c r="CN47" s="346"/>
      <c r="CO47" s="346"/>
      <c r="CP47" s="346"/>
      <c r="CQ47" s="346"/>
      <c r="CR47" s="346"/>
      <c r="CS47" s="346"/>
      <c r="CT47" s="346"/>
      <c r="CU47" s="346"/>
      <c r="CV47" s="346"/>
      <c r="CW47" s="346"/>
      <c r="CX47" s="346"/>
      <c r="CY47" s="346"/>
      <c r="CZ47" s="346"/>
      <c r="DA47" s="346"/>
    </row>
    <row r="48" spans="1:105" s="348" customFormat="1" ht="49.3" customHeight="1" x14ac:dyDescent="0.5">
      <c r="A48" s="331">
        <v>3</v>
      </c>
      <c r="B48" s="350" t="s">
        <v>860</v>
      </c>
      <c r="C48" s="351" t="s">
        <v>952</v>
      </c>
      <c r="D48" s="452"/>
      <c r="E48" s="394">
        <v>2</v>
      </c>
      <c r="F48" s="461"/>
      <c r="H48" s="346"/>
      <c r="I48" s="346"/>
      <c r="J48" s="346"/>
      <c r="K48" s="346"/>
      <c r="L48" s="346"/>
      <c r="M48" s="346"/>
      <c r="N48" s="346"/>
      <c r="O48" s="346"/>
      <c r="P48" s="346"/>
      <c r="Q48" s="346"/>
      <c r="R48" s="346"/>
      <c r="S48" s="346"/>
      <c r="T48" s="346"/>
      <c r="U48" s="346"/>
      <c r="V48" s="346"/>
      <c r="W48" s="346"/>
      <c r="X48" s="346"/>
      <c r="Y48" s="346"/>
      <c r="Z48" s="346"/>
      <c r="AA48" s="346"/>
      <c r="AB48" s="346"/>
      <c r="AC48" s="346"/>
      <c r="AD48" s="346"/>
      <c r="AE48" s="346"/>
      <c r="AF48" s="346"/>
      <c r="AG48" s="346"/>
      <c r="AH48" s="346"/>
      <c r="AI48" s="346"/>
      <c r="AJ48" s="346"/>
      <c r="AK48" s="346"/>
      <c r="AL48" s="346"/>
      <c r="AM48" s="346"/>
      <c r="AN48" s="346"/>
      <c r="AO48" s="346"/>
      <c r="AP48" s="346"/>
      <c r="AQ48" s="346"/>
      <c r="AR48" s="346"/>
      <c r="AS48" s="346"/>
      <c r="AT48" s="346"/>
      <c r="AU48" s="346"/>
      <c r="AV48" s="346"/>
      <c r="AW48" s="346"/>
      <c r="AX48" s="346"/>
      <c r="AY48" s="346"/>
      <c r="AZ48" s="346"/>
      <c r="BA48" s="346"/>
      <c r="BB48" s="346"/>
      <c r="BC48" s="346"/>
      <c r="BD48" s="346"/>
      <c r="BE48" s="346"/>
      <c r="BF48" s="346"/>
      <c r="BG48" s="346"/>
      <c r="BH48" s="346"/>
      <c r="BI48" s="346"/>
      <c r="BJ48" s="346"/>
      <c r="BK48" s="346"/>
      <c r="BL48" s="346"/>
      <c r="BM48" s="346"/>
      <c r="BN48" s="346"/>
      <c r="BO48" s="346"/>
      <c r="BP48" s="346"/>
      <c r="BQ48" s="346"/>
      <c r="BR48" s="346"/>
      <c r="BS48" s="346"/>
      <c r="BT48" s="346"/>
      <c r="BU48" s="346"/>
      <c r="BV48" s="346"/>
      <c r="BW48" s="346"/>
      <c r="BX48" s="346"/>
      <c r="BY48" s="346"/>
      <c r="BZ48" s="346"/>
      <c r="CA48" s="346"/>
      <c r="CB48" s="346"/>
      <c r="CC48" s="346"/>
      <c r="CD48" s="346"/>
      <c r="CE48" s="346"/>
      <c r="CF48" s="346"/>
      <c r="CG48" s="346"/>
      <c r="CH48" s="346"/>
      <c r="CI48" s="346"/>
      <c r="CJ48" s="346"/>
      <c r="CK48" s="346"/>
      <c r="CL48" s="346"/>
      <c r="CM48" s="346"/>
      <c r="CN48" s="346"/>
      <c r="CO48" s="346"/>
      <c r="CP48" s="346"/>
      <c r="CQ48" s="346"/>
      <c r="CR48" s="346"/>
      <c r="CS48" s="346"/>
      <c r="CT48" s="346"/>
      <c r="CU48" s="346"/>
      <c r="CV48" s="346"/>
      <c r="CW48" s="346"/>
      <c r="CX48" s="346"/>
      <c r="CY48" s="346"/>
      <c r="CZ48" s="346"/>
      <c r="DA48" s="346"/>
    </row>
    <row r="49" spans="1:105" s="348" customFormat="1" ht="49.3" customHeight="1" x14ac:dyDescent="0.5">
      <c r="A49" s="331">
        <v>4</v>
      </c>
      <c r="B49" s="350" t="s">
        <v>866</v>
      </c>
      <c r="C49" s="351" t="s">
        <v>954</v>
      </c>
      <c r="D49" s="452"/>
      <c r="E49" s="394">
        <v>1</v>
      </c>
      <c r="F49" s="461"/>
      <c r="H49" s="346"/>
      <c r="I49" s="346"/>
      <c r="J49" s="346"/>
      <c r="K49" s="346"/>
      <c r="L49" s="346"/>
      <c r="M49" s="346"/>
      <c r="N49" s="346"/>
      <c r="O49" s="346"/>
      <c r="P49" s="346"/>
      <c r="Q49" s="346"/>
      <c r="R49" s="346"/>
      <c r="S49" s="346"/>
      <c r="T49" s="346"/>
      <c r="U49" s="346"/>
      <c r="V49" s="346"/>
      <c r="W49" s="346"/>
      <c r="X49" s="346"/>
      <c r="Y49" s="346"/>
      <c r="Z49" s="346"/>
      <c r="AA49" s="346"/>
      <c r="AB49" s="346"/>
      <c r="AC49" s="346"/>
      <c r="AD49" s="346"/>
      <c r="AE49" s="346"/>
      <c r="AF49" s="346"/>
      <c r="AG49" s="346"/>
      <c r="AH49" s="346"/>
      <c r="AI49" s="346"/>
      <c r="AJ49" s="346"/>
      <c r="AK49" s="346"/>
      <c r="AL49" s="346"/>
      <c r="AM49" s="346"/>
      <c r="AN49" s="346"/>
      <c r="AO49" s="346"/>
      <c r="AP49" s="346"/>
      <c r="AQ49" s="346"/>
      <c r="AR49" s="346"/>
      <c r="AS49" s="346"/>
      <c r="AT49" s="346"/>
      <c r="AU49" s="346"/>
      <c r="AV49" s="346"/>
      <c r="AW49" s="346"/>
      <c r="AX49" s="346"/>
      <c r="AY49" s="346"/>
      <c r="AZ49" s="346"/>
      <c r="BA49" s="346"/>
      <c r="BB49" s="346"/>
      <c r="BC49" s="346"/>
      <c r="BD49" s="346"/>
      <c r="BE49" s="346"/>
      <c r="BF49" s="346"/>
      <c r="BG49" s="346"/>
      <c r="BH49" s="346"/>
      <c r="BI49" s="346"/>
      <c r="BJ49" s="346"/>
      <c r="BK49" s="346"/>
      <c r="BL49" s="346"/>
      <c r="BM49" s="346"/>
      <c r="BN49" s="346"/>
      <c r="BO49" s="346"/>
      <c r="BP49" s="346"/>
      <c r="BQ49" s="346"/>
      <c r="BR49" s="346"/>
      <c r="BS49" s="346"/>
      <c r="BT49" s="346"/>
      <c r="BU49" s="346"/>
      <c r="BV49" s="346"/>
      <c r="BW49" s="346"/>
      <c r="BX49" s="346"/>
      <c r="BY49" s="346"/>
      <c r="BZ49" s="346"/>
      <c r="CA49" s="346"/>
      <c r="CB49" s="346"/>
      <c r="CC49" s="346"/>
      <c r="CD49" s="346"/>
      <c r="CE49" s="346"/>
      <c r="CF49" s="346"/>
      <c r="CG49" s="346"/>
      <c r="CH49" s="346"/>
      <c r="CI49" s="346"/>
      <c r="CJ49" s="346"/>
      <c r="CK49" s="346"/>
      <c r="CL49" s="346"/>
      <c r="CM49" s="346"/>
      <c r="CN49" s="346"/>
      <c r="CO49" s="346"/>
      <c r="CP49" s="346"/>
      <c r="CQ49" s="346"/>
      <c r="CR49" s="346"/>
      <c r="CS49" s="346"/>
      <c r="CT49" s="346"/>
      <c r="CU49" s="346"/>
      <c r="CV49" s="346"/>
      <c r="CW49" s="346"/>
      <c r="CX49" s="346"/>
      <c r="CY49" s="346"/>
      <c r="CZ49" s="346"/>
      <c r="DA49" s="346"/>
    </row>
    <row r="50" spans="1:105" s="348" customFormat="1" ht="49.3" customHeight="1" x14ac:dyDescent="0.5">
      <c r="A50" s="331">
        <v>5</v>
      </c>
      <c r="B50" s="350" t="s">
        <v>819</v>
      </c>
      <c r="C50" s="351" t="s">
        <v>956</v>
      </c>
      <c r="D50" s="452"/>
      <c r="E50" s="394">
        <v>2</v>
      </c>
      <c r="F50" s="461"/>
      <c r="H50" s="346"/>
      <c r="I50" s="346"/>
      <c r="J50" s="346"/>
      <c r="K50" s="346"/>
      <c r="L50" s="346"/>
      <c r="M50" s="346"/>
      <c r="N50" s="346"/>
      <c r="O50" s="346"/>
      <c r="P50" s="346"/>
      <c r="Q50" s="346"/>
      <c r="R50" s="346"/>
      <c r="S50" s="346"/>
      <c r="T50" s="346"/>
      <c r="U50" s="346"/>
      <c r="V50" s="346"/>
      <c r="W50" s="346"/>
      <c r="X50" s="346"/>
      <c r="Y50" s="346"/>
      <c r="Z50" s="346"/>
      <c r="AA50" s="346"/>
      <c r="AB50" s="346"/>
      <c r="AC50" s="346"/>
      <c r="AD50" s="346"/>
      <c r="AE50" s="346"/>
      <c r="AF50" s="346"/>
      <c r="AG50" s="346"/>
      <c r="AH50" s="346"/>
      <c r="AI50" s="346"/>
      <c r="AJ50" s="346"/>
      <c r="AK50" s="346"/>
      <c r="AL50" s="346"/>
      <c r="AM50" s="346"/>
      <c r="AN50" s="346"/>
      <c r="AO50" s="346"/>
      <c r="AP50" s="346"/>
      <c r="AQ50" s="346"/>
      <c r="AR50" s="346"/>
      <c r="AS50" s="346"/>
      <c r="AT50" s="346"/>
      <c r="AU50" s="346"/>
      <c r="AV50" s="346"/>
      <c r="AW50" s="346"/>
      <c r="AX50" s="346"/>
      <c r="AY50" s="346"/>
      <c r="AZ50" s="346"/>
      <c r="BA50" s="346"/>
      <c r="BB50" s="346"/>
      <c r="BC50" s="346"/>
      <c r="BD50" s="346"/>
      <c r="BE50" s="346"/>
      <c r="BF50" s="346"/>
      <c r="BG50" s="346"/>
      <c r="BH50" s="346"/>
      <c r="BI50" s="346"/>
      <c r="BJ50" s="346"/>
      <c r="BK50" s="346"/>
      <c r="BL50" s="346"/>
      <c r="BM50" s="346"/>
      <c r="BN50" s="346"/>
      <c r="BO50" s="346"/>
      <c r="BP50" s="346"/>
      <c r="BQ50" s="346"/>
      <c r="BR50" s="346"/>
      <c r="BS50" s="346"/>
      <c r="BT50" s="346"/>
      <c r="BU50" s="346"/>
      <c r="BV50" s="346"/>
      <c r="BW50" s="346"/>
      <c r="BX50" s="346"/>
      <c r="BY50" s="346"/>
      <c r="BZ50" s="346"/>
      <c r="CA50" s="346"/>
      <c r="CB50" s="346"/>
      <c r="CC50" s="346"/>
      <c r="CD50" s="346"/>
      <c r="CE50" s="346"/>
      <c r="CF50" s="346"/>
      <c r="CG50" s="346"/>
      <c r="CH50" s="346"/>
      <c r="CI50" s="346"/>
      <c r="CJ50" s="346"/>
      <c r="CK50" s="346"/>
      <c r="CL50" s="346"/>
      <c r="CM50" s="346"/>
      <c r="CN50" s="346"/>
      <c r="CO50" s="346"/>
      <c r="CP50" s="346"/>
      <c r="CQ50" s="346"/>
      <c r="CR50" s="346"/>
      <c r="CS50" s="346"/>
      <c r="CT50" s="346"/>
      <c r="CU50" s="346"/>
      <c r="CV50" s="346"/>
      <c r="CW50" s="346"/>
      <c r="CX50" s="346"/>
      <c r="CY50" s="346"/>
      <c r="CZ50" s="346"/>
      <c r="DA50" s="346"/>
    </row>
    <row r="51" spans="1:105" s="348" customFormat="1" ht="49.3" customHeight="1" x14ac:dyDescent="0.5">
      <c r="A51" s="331">
        <v>6</v>
      </c>
      <c r="B51" s="350" t="s">
        <v>774</v>
      </c>
      <c r="C51" s="351" t="s">
        <v>957</v>
      </c>
      <c r="D51" s="452"/>
      <c r="E51" s="394">
        <v>1</v>
      </c>
      <c r="F51" s="461"/>
      <c r="H51" s="346"/>
      <c r="I51" s="346"/>
      <c r="J51" s="346"/>
      <c r="K51" s="346"/>
      <c r="L51" s="346"/>
      <c r="M51" s="346"/>
      <c r="N51" s="346"/>
      <c r="O51" s="346"/>
      <c r="P51" s="346"/>
      <c r="Q51" s="346"/>
      <c r="R51" s="346"/>
      <c r="S51" s="346"/>
      <c r="T51" s="346"/>
      <c r="U51" s="346"/>
      <c r="V51" s="346"/>
      <c r="W51" s="346"/>
      <c r="X51" s="346"/>
      <c r="Y51" s="346"/>
      <c r="Z51" s="346"/>
      <c r="AA51" s="346"/>
      <c r="AB51" s="346"/>
      <c r="AC51" s="346"/>
      <c r="AD51" s="346"/>
      <c r="AE51" s="346"/>
      <c r="AF51" s="346"/>
      <c r="AG51" s="346"/>
      <c r="AH51" s="346"/>
      <c r="AI51" s="346"/>
      <c r="AJ51" s="346"/>
      <c r="AK51" s="346"/>
      <c r="AL51" s="346"/>
      <c r="AM51" s="346"/>
      <c r="AN51" s="346"/>
      <c r="AO51" s="346"/>
      <c r="AP51" s="346"/>
      <c r="AQ51" s="346"/>
      <c r="AR51" s="346"/>
      <c r="AS51" s="346"/>
      <c r="AT51" s="346"/>
      <c r="AU51" s="346"/>
      <c r="AV51" s="346"/>
      <c r="AW51" s="346"/>
      <c r="AX51" s="346"/>
      <c r="AY51" s="346"/>
      <c r="AZ51" s="346"/>
      <c r="BA51" s="346"/>
      <c r="BB51" s="346"/>
      <c r="BC51" s="346"/>
      <c r="BD51" s="346"/>
      <c r="BE51" s="346"/>
      <c r="BF51" s="346"/>
      <c r="BG51" s="346"/>
      <c r="BH51" s="346"/>
      <c r="BI51" s="346"/>
      <c r="BJ51" s="346"/>
      <c r="BK51" s="346"/>
      <c r="BL51" s="346"/>
      <c r="BM51" s="346"/>
      <c r="BN51" s="346"/>
      <c r="BO51" s="346"/>
      <c r="BP51" s="346"/>
      <c r="BQ51" s="346"/>
      <c r="BR51" s="346"/>
      <c r="BS51" s="346"/>
      <c r="BT51" s="346"/>
      <c r="BU51" s="346"/>
      <c r="BV51" s="346"/>
      <c r="BW51" s="346"/>
      <c r="BX51" s="346"/>
      <c r="BY51" s="346"/>
      <c r="BZ51" s="346"/>
      <c r="CA51" s="346"/>
      <c r="CB51" s="346"/>
      <c r="CC51" s="346"/>
      <c r="CD51" s="346"/>
      <c r="CE51" s="346"/>
      <c r="CF51" s="346"/>
      <c r="CG51" s="346"/>
      <c r="CH51" s="346"/>
      <c r="CI51" s="346"/>
      <c r="CJ51" s="346"/>
      <c r="CK51" s="346"/>
      <c r="CL51" s="346"/>
      <c r="CM51" s="346"/>
      <c r="CN51" s="346"/>
      <c r="CO51" s="346"/>
      <c r="CP51" s="346"/>
      <c r="CQ51" s="346"/>
      <c r="CR51" s="346"/>
      <c r="CS51" s="346"/>
      <c r="CT51" s="346"/>
      <c r="CU51" s="346"/>
      <c r="CV51" s="346"/>
      <c r="CW51" s="346"/>
      <c r="CX51" s="346"/>
      <c r="CY51" s="346"/>
      <c r="CZ51" s="346"/>
      <c r="DA51" s="346"/>
    </row>
    <row r="52" spans="1:105" s="348" customFormat="1" ht="49.15" customHeight="1" x14ac:dyDescent="0.5">
      <c r="A52" s="331">
        <v>7</v>
      </c>
      <c r="B52" s="350" t="s">
        <v>883</v>
      </c>
      <c r="C52" s="351" t="s">
        <v>958</v>
      </c>
      <c r="D52" s="452"/>
      <c r="E52" s="394">
        <v>2</v>
      </c>
      <c r="F52" s="461"/>
      <c r="H52" s="346"/>
      <c r="I52" s="346"/>
      <c r="J52" s="346"/>
      <c r="K52" s="346"/>
      <c r="L52" s="346"/>
      <c r="M52" s="346"/>
      <c r="N52" s="346"/>
      <c r="O52" s="346"/>
      <c r="P52" s="346"/>
      <c r="Q52" s="346"/>
      <c r="R52" s="346"/>
      <c r="S52" s="346"/>
      <c r="T52" s="346"/>
      <c r="U52" s="346"/>
      <c r="V52" s="346"/>
      <c r="W52" s="346"/>
      <c r="X52" s="346"/>
      <c r="Y52" s="346"/>
      <c r="Z52" s="346"/>
      <c r="AA52" s="346"/>
      <c r="AB52" s="346"/>
      <c r="AC52" s="346"/>
      <c r="AD52" s="346"/>
      <c r="AE52" s="346"/>
      <c r="AF52" s="346"/>
      <c r="AG52" s="346"/>
      <c r="AH52" s="346"/>
      <c r="AI52" s="346"/>
      <c r="AJ52" s="346"/>
      <c r="AK52" s="346"/>
      <c r="AL52" s="346"/>
      <c r="AM52" s="346"/>
      <c r="AN52" s="346"/>
      <c r="AO52" s="346"/>
      <c r="AP52" s="346"/>
      <c r="AQ52" s="346"/>
      <c r="AR52" s="346"/>
      <c r="AS52" s="346"/>
      <c r="AT52" s="346"/>
      <c r="AU52" s="346"/>
      <c r="AV52" s="346"/>
      <c r="AW52" s="346"/>
      <c r="AX52" s="346"/>
      <c r="AY52" s="346"/>
      <c r="AZ52" s="346"/>
      <c r="BA52" s="346"/>
      <c r="BB52" s="346"/>
      <c r="BC52" s="346"/>
      <c r="BD52" s="346"/>
      <c r="BE52" s="346"/>
      <c r="BF52" s="346"/>
      <c r="BG52" s="346"/>
      <c r="BH52" s="346"/>
      <c r="BI52" s="346"/>
      <c r="BJ52" s="346"/>
      <c r="BK52" s="346"/>
      <c r="BL52" s="346"/>
      <c r="BM52" s="346"/>
      <c r="BN52" s="346"/>
      <c r="BO52" s="346"/>
      <c r="BP52" s="346"/>
      <c r="BQ52" s="346"/>
      <c r="BR52" s="346"/>
      <c r="BS52" s="346"/>
      <c r="BT52" s="346"/>
      <c r="BU52" s="346"/>
      <c r="BV52" s="346"/>
      <c r="BW52" s="346"/>
      <c r="BX52" s="346"/>
      <c r="BY52" s="346"/>
      <c r="BZ52" s="346"/>
      <c r="CA52" s="346"/>
      <c r="CB52" s="346"/>
      <c r="CC52" s="346"/>
      <c r="CD52" s="346"/>
      <c r="CE52" s="346"/>
      <c r="CF52" s="346"/>
      <c r="CG52" s="346"/>
      <c r="CH52" s="346"/>
      <c r="CI52" s="346"/>
      <c r="CJ52" s="346"/>
      <c r="CK52" s="346"/>
      <c r="CL52" s="346"/>
      <c r="CM52" s="346"/>
      <c r="CN52" s="346"/>
      <c r="CO52" s="346"/>
      <c r="CP52" s="346"/>
      <c r="CQ52" s="346"/>
      <c r="CR52" s="346"/>
      <c r="CS52" s="346"/>
      <c r="CT52" s="346"/>
      <c r="CU52" s="346"/>
      <c r="CV52" s="346"/>
      <c r="CW52" s="346"/>
      <c r="CX52" s="346"/>
      <c r="CY52" s="346"/>
      <c r="CZ52" s="346"/>
      <c r="DA52" s="346"/>
    </row>
    <row r="53" spans="1:105" s="348" customFormat="1" ht="49.3" customHeight="1" thickBot="1" x14ac:dyDescent="0.55000000000000004">
      <c r="A53" s="379">
        <v>8</v>
      </c>
      <c r="B53" s="389" t="s">
        <v>904</v>
      </c>
      <c r="C53" s="390" t="s">
        <v>960</v>
      </c>
      <c r="D53" s="452"/>
      <c r="E53" s="399">
        <v>2</v>
      </c>
      <c r="F53" s="461"/>
      <c r="H53" s="346"/>
      <c r="I53" s="346"/>
      <c r="J53" s="346"/>
      <c r="K53" s="346"/>
      <c r="L53" s="346"/>
      <c r="M53" s="346"/>
      <c r="N53" s="346"/>
      <c r="O53" s="346"/>
      <c r="P53" s="346"/>
      <c r="Q53" s="346"/>
      <c r="R53" s="346"/>
      <c r="S53" s="346"/>
      <c r="T53" s="346"/>
      <c r="U53" s="346"/>
      <c r="V53" s="346"/>
      <c r="W53" s="346"/>
      <c r="X53" s="346"/>
      <c r="Y53" s="346"/>
      <c r="Z53" s="346"/>
      <c r="AA53" s="346"/>
      <c r="AB53" s="346"/>
      <c r="AC53" s="346"/>
      <c r="AD53" s="346"/>
      <c r="AE53" s="346"/>
      <c r="AF53" s="346"/>
      <c r="AG53" s="346"/>
      <c r="AH53" s="346"/>
      <c r="AI53" s="346"/>
      <c r="AJ53" s="346"/>
      <c r="AK53" s="346"/>
      <c r="AL53" s="346"/>
      <c r="AM53" s="346"/>
      <c r="AN53" s="346"/>
      <c r="AO53" s="346"/>
      <c r="AP53" s="346"/>
      <c r="AQ53" s="346"/>
      <c r="AR53" s="346"/>
      <c r="AS53" s="346"/>
      <c r="AT53" s="346"/>
      <c r="AU53" s="346"/>
      <c r="AV53" s="346"/>
      <c r="AW53" s="346"/>
      <c r="AX53" s="346"/>
      <c r="AY53" s="346"/>
      <c r="AZ53" s="346"/>
      <c r="BA53" s="346"/>
      <c r="BB53" s="346"/>
      <c r="BC53" s="346"/>
      <c r="BD53" s="346"/>
      <c r="BE53" s="346"/>
      <c r="BF53" s="346"/>
      <c r="BG53" s="346"/>
      <c r="BH53" s="346"/>
      <c r="BI53" s="346"/>
      <c r="BJ53" s="346"/>
      <c r="BK53" s="346"/>
      <c r="BL53" s="346"/>
      <c r="BM53" s="346"/>
      <c r="BN53" s="346"/>
      <c r="BO53" s="346"/>
      <c r="BP53" s="346"/>
      <c r="BQ53" s="346"/>
      <c r="BR53" s="346"/>
      <c r="BS53" s="346"/>
      <c r="BT53" s="346"/>
      <c r="BU53" s="346"/>
      <c r="BV53" s="346"/>
      <c r="BW53" s="346"/>
      <c r="BX53" s="346"/>
      <c r="BY53" s="346"/>
      <c r="BZ53" s="346"/>
      <c r="CA53" s="346"/>
      <c r="CB53" s="346"/>
      <c r="CC53" s="346"/>
      <c r="CD53" s="346"/>
      <c r="CE53" s="346"/>
      <c r="CF53" s="346"/>
      <c r="CG53" s="346"/>
      <c r="CH53" s="346"/>
      <c r="CI53" s="346"/>
      <c r="CJ53" s="346"/>
      <c r="CK53" s="346"/>
      <c r="CL53" s="346"/>
      <c r="CM53" s="346"/>
      <c r="CN53" s="346"/>
      <c r="CO53" s="346"/>
      <c r="CP53" s="346"/>
      <c r="CQ53" s="346"/>
      <c r="CR53" s="346"/>
      <c r="CS53" s="346"/>
      <c r="CT53" s="346"/>
      <c r="CU53" s="346"/>
      <c r="CV53" s="346"/>
      <c r="CW53" s="346"/>
      <c r="CX53" s="346"/>
      <c r="CY53" s="346"/>
      <c r="CZ53" s="346"/>
      <c r="DA53" s="346"/>
    </row>
    <row r="54" spans="1:105" s="348" customFormat="1" ht="49.3" customHeight="1" x14ac:dyDescent="0.5">
      <c r="A54" s="382">
        <v>1</v>
      </c>
      <c r="B54" s="383" t="s">
        <v>905</v>
      </c>
      <c r="C54" s="384" t="s">
        <v>959</v>
      </c>
      <c r="D54" s="451" t="s">
        <v>974</v>
      </c>
      <c r="E54" s="391">
        <v>1</v>
      </c>
      <c r="F54" s="454">
        <f>SUM(E54:E58)</f>
        <v>5</v>
      </c>
      <c r="H54" s="346"/>
      <c r="I54" s="346"/>
      <c r="J54" s="346"/>
      <c r="K54" s="346"/>
      <c r="L54" s="346"/>
      <c r="M54" s="346"/>
      <c r="N54" s="346"/>
      <c r="O54" s="346"/>
      <c r="P54" s="346"/>
      <c r="Q54" s="346"/>
      <c r="R54" s="346"/>
      <c r="S54" s="346"/>
      <c r="T54" s="346"/>
      <c r="U54" s="346"/>
      <c r="V54" s="346"/>
      <c r="W54" s="346"/>
      <c r="X54" s="346"/>
      <c r="Y54" s="346"/>
      <c r="Z54" s="346"/>
      <c r="AA54" s="346"/>
      <c r="AB54" s="346"/>
      <c r="AC54" s="346"/>
      <c r="AD54" s="346"/>
      <c r="AE54" s="346"/>
      <c r="AF54" s="346"/>
      <c r="AG54" s="346"/>
      <c r="AH54" s="346"/>
      <c r="AI54" s="346"/>
      <c r="AJ54" s="346"/>
      <c r="AK54" s="346"/>
      <c r="AL54" s="346"/>
      <c r="AM54" s="346"/>
      <c r="AN54" s="346"/>
      <c r="AO54" s="346"/>
      <c r="AP54" s="346"/>
      <c r="AQ54" s="346"/>
      <c r="AR54" s="346"/>
      <c r="AS54" s="346"/>
      <c r="AT54" s="346"/>
      <c r="AU54" s="346"/>
      <c r="AV54" s="346"/>
      <c r="AW54" s="346"/>
      <c r="AX54" s="346"/>
      <c r="AY54" s="346"/>
      <c r="AZ54" s="346"/>
      <c r="BA54" s="346"/>
      <c r="BB54" s="346"/>
      <c r="BC54" s="346"/>
      <c r="BD54" s="346"/>
      <c r="BE54" s="346"/>
      <c r="BF54" s="346"/>
      <c r="BG54" s="346"/>
      <c r="BH54" s="346"/>
      <c r="BI54" s="346"/>
      <c r="BJ54" s="346"/>
      <c r="BK54" s="346"/>
      <c r="BL54" s="346"/>
      <c r="BM54" s="346"/>
      <c r="BN54" s="346"/>
      <c r="BO54" s="346"/>
      <c r="BP54" s="346"/>
      <c r="BQ54" s="346"/>
      <c r="BR54" s="346"/>
      <c r="BS54" s="346"/>
      <c r="BT54" s="346"/>
      <c r="BU54" s="346"/>
      <c r="BV54" s="346"/>
      <c r="BW54" s="346"/>
      <c r="BX54" s="346"/>
      <c r="BY54" s="346"/>
      <c r="BZ54" s="346"/>
      <c r="CA54" s="346"/>
      <c r="CB54" s="346"/>
      <c r="CC54" s="346"/>
      <c r="CD54" s="346"/>
      <c r="CE54" s="346"/>
      <c r="CF54" s="346"/>
      <c r="CG54" s="346"/>
      <c r="CH54" s="346"/>
      <c r="CI54" s="346"/>
      <c r="CJ54" s="346"/>
      <c r="CK54" s="346"/>
      <c r="CL54" s="346"/>
      <c r="CM54" s="346"/>
      <c r="CN54" s="346"/>
      <c r="CO54" s="346"/>
      <c r="CP54" s="346"/>
      <c r="CQ54" s="346"/>
      <c r="CR54" s="346"/>
      <c r="CS54" s="346"/>
      <c r="CT54" s="346"/>
      <c r="CU54" s="346"/>
      <c r="CV54" s="346"/>
      <c r="CW54" s="346"/>
      <c r="CX54" s="346"/>
      <c r="CY54" s="346"/>
      <c r="CZ54" s="346"/>
      <c r="DA54" s="346"/>
    </row>
    <row r="55" spans="1:105" s="348" customFormat="1" ht="49.3" customHeight="1" x14ac:dyDescent="0.5">
      <c r="A55" s="385">
        <v>2</v>
      </c>
      <c r="B55" s="350" t="s">
        <v>906</v>
      </c>
      <c r="C55" s="351" t="s">
        <v>961</v>
      </c>
      <c r="D55" s="452"/>
      <c r="E55" s="394">
        <v>1</v>
      </c>
      <c r="F55" s="455"/>
      <c r="H55" s="346"/>
      <c r="I55" s="346"/>
      <c r="J55" s="346"/>
      <c r="K55" s="346"/>
      <c r="L55" s="346"/>
      <c r="M55" s="346"/>
      <c r="N55" s="346"/>
      <c r="O55" s="346"/>
      <c r="P55" s="346"/>
      <c r="Q55" s="346"/>
      <c r="R55" s="346"/>
      <c r="S55" s="346"/>
      <c r="T55" s="346"/>
      <c r="U55" s="346"/>
      <c r="V55" s="346"/>
      <c r="W55" s="346"/>
      <c r="X55" s="346"/>
      <c r="Y55" s="346"/>
      <c r="Z55" s="346"/>
      <c r="AA55" s="346"/>
      <c r="AB55" s="346"/>
      <c r="AC55" s="346"/>
      <c r="AD55" s="346"/>
      <c r="AE55" s="346"/>
      <c r="AF55" s="346"/>
      <c r="AG55" s="346"/>
      <c r="AH55" s="346"/>
      <c r="AI55" s="346"/>
      <c r="AJ55" s="346"/>
      <c r="AK55" s="346"/>
      <c r="AL55" s="346"/>
      <c r="AM55" s="346"/>
      <c r="AN55" s="346"/>
      <c r="AO55" s="346"/>
      <c r="AP55" s="346"/>
      <c r="AQ55" s="346"/>
      <c r="AR55" s="346"/>
      <c r="AS55" s="346"/>
      <c r="AT55" s="346"/>
      <c r="AU55" s="346"/>
      <c r="AV55" s="346"/>
      <c r="AW55" s="346"/>
      <c r="AX55" s="346"/>
      <c r="AY55" s="346"/>
      <c r="AZ55" s="346"/>
      <c r="BA55" s="346"/>
      <c r="BB55" s="346"/>
      <c r="BC55" s="346"/>
      <c r="BD55" s="346"/>
      <c r="BE55" s="346"/>
      <c r="BF55" s="346"/>
      <c r="BG55" s="346"/>
      <c r="BH55" s="346"/>
      <c r="BI55" s="346"/>
      <c r="BJ55" s="346"/>
      <c r="BK55" s="346"/>
      <c r="BL55" s="346"/>
      <c r="BM55" s="346"/>
      <c r="BN55" s="346"/>
      <c r="BO55" s="346"/>
      <c r="BP55" s="346"/>
      <c r="BQ55" s="346"/>
      <c r="BR55" s="346"/>
      <c r="BS55" s="346"/>
      <c r="BT55" s="346"/>
      <c r="BU55" s="346"/>
      <c r="BV55" s="346"/>
      <c r="BW55" s="346"/>
      <c r="BX55" s="346"/>
      <c r="BY55" s="346"/>
      <c r="BZ55" s="346"/>
      <c r="CA55" s="346"/>
      <c r="CB55" s="346"/>
      <c r="CC55" s="346"/>
      <c r="CD55" s="346"/>
      <c r="CE55" s="346"/>
      <c r="CF55" s="346"/>
      <c r="CG55" s="346"/>
      <c r="CH55" s="346"/>
      <c r="CI55" s="346"/>
      <c r="CJ55" s="346"/>
      <c r="CK55" s="346"/>
      <c r="CL55" s="346"/>
      <c r="CM55" s="346"/>
      <c r="CN55" s="346"/>
      <c r="CO55" s="346"/>
      <c r="CP55" s="346"/>
      <c r="CQ55" s="346"/>
      <c r="CR55" s="346"/>
      <c r="CS55" s="346"/>
      <c r="CT55" s="346"/>
      <c r="CU55" s="346"/>
      <c r="CV55" s="346"/>
      <c r="CW55" s="346"/>
      <c r="CX55" s="346"/>
      <c r="CY55" s="346"/>
      <c r="CZ55" s="346"/>
      <c r="DA55" s="346"/>
    </row>
    <row r="56" spans="1:105" s="348" customFormat="1" ht="49.3" customHeight="1" x14ac:dyDescent="0.5">
      <c r="A56" s="385">
        <v>3</v>
      </c>
      <c r="B56" s="350" t="s">
        <v>965</v>
      </c>
      <c r="C56" s="351" t="s">
        <v>969</v>
      </c>
      <c r="D56" s="452"/>
      <c r="E56" s="394">
        <v>1</v>
      </c>
      <c r="F56" s="455"/>
      <c r="H56" s="346"/>
      <c r="I56" s="346"/>
      <c r="J56" s="346"/>
      <c r="K56" s="346"/>
      <c r="L56" s="346"/>
      <c r="M56" s="346"/>
      <c r="N56" s="346"/>
      <c r="O56" s="346"/>
      <c r="P56" s="346"/>
      <c r="Q56" s="346"/>
      <c r="R56" s="346"/>
      <c r="S56" s="346"/>
      <c r="T56" s="346"/>
      <c r="U56" s="346"/>
      <c r="V56" s="346"/>
      <c r="W56" s="346"/>
      <c r="X56" s="346"/>
      <c r="Y56" s="346"/>
      <c r="Z56" s="346"/>
      <c r="AA56" s="346"/>
      <c r="AB56" s="346"/>
      <c r="AC56" s="346"/>
      <c r="AD56" s="346"/>
      <c r="AE56" s="346"/>
      <c r="AF56" s="346"/>
      <c r="AG56" s="346"/>
      <c r="AH56" s="346"/>
      <c r="AI56" s="346"/>
      <c r="AJ56" s="346"/>
      <c r="AK56" s="346"/>
      <c r="AL56" s="346"/>
      <c r="AM56" s="346"/>
      <c r="AN56" s="346"/>
      <c r="AO56" s="346"/>
      <c r="AP56" s="346"/>
      <c r="AQ56" s="346"/>
      <c r="AR56" s="346"/>
      <c r="AS56" s="346"/>
      <c r="AT56" s="346"/>
      <c r="AU56" s="346"/>
      <c r="AV56" s="346"/>
      <c r="AW56" s="346"/>
      <c r="AX56" s="346"/>
      <c r="AY56" s="346"/>
      <c r="AZ56" s="346"/>
      <c r="BA56" s="346"/>
      <c r="BB56" s="346"/>
      <c r="BC56" s="346"/>
      <c r="BD56" s="346"/>
      <c r="BE56" s="346"/>
      <c r="BF56" s="346"/>
      <c r="BG56" s="346"/>
      <c r="BH56" s="346"/>
      <c r="BI56" s="346"/>
      <c r="BJ56" s="346"/>
      <c r="BK56" s="346"/>
      <c r="BL56" s="346"/>
      <c r="BM56" s="346"/>
      <c r="BN56" s="346"/>
      <c r="BO56" s="346"/>
      <c r="BP56" s="346"/>
      <c r="BQ56" s="346"/>
      <c r="BR56" s="346"/>
      <c r="BS56" s="346"/>
      <c r="BT56" s="346"/>
      <c r="BU56" s="346"/>
      <c r="BV56" s="346"/>
      <c r="BW56" s="346"/>
      <c r="BX56" s="346"/>
      <c r="BY56" s="346"/>
      <c r="BZ56" s="346"/>
      <c r="CA56" s="346"/>
      <c r="CB56" s="346"/>
      <c r="CC56" s="346"/>
      <c r="CD56" s="346"/>
      <c r="CE56" s="346"/>
      <c r="CF56" s="346"/>
      <c r="CG56" s="346"/>
      <c r="CH56" s="346"/>
      <c r="CI56" s="346"/>
      <c r="CJ56" s="346"/>
      <c r="CK56" s="346"/>
      <c r="CL56" s="346"/>
      <c r="CM56" s="346"/>
      <c r="CN56" s="346"/>
      <c r="CO56" s="346"/>
      <c r="CP56" s="346"/>
      <c r="CQ56" s="346"/>
      <c r="CR56" s="346"/>
      <c r="CS56" s="346"/>
      <c r="CT56" s="346"/>
      <c r="CU56" s="346"/>
      <c r="CV56" s="346"/>
      <c r="CW56" s="346"/>
      <c r="CX56" s="346"/>
      <c r="CY56" s="346"/>
      <c r="CZ56" s="346"/>
      <c r="DA56" s="346"/>
    </row>
    <row r="57" spans="1:105" s="348" customFormat="1" ht="49.3" customHeight="1" x14ac:dyDescent="0.5">
      <c r="A57" s="385">
        <v>4</v>
      </c>
      <c r="B57" s="350" t="s">
        <v>966</v>
      </c>
      <c r="C57" s="351" t="s">
        <v>971</v>
      </c>
      <c r="D57" s="452"/>
      <c r="E57" s="394">
        <v>1</v>
      </c>
      <c r="F57" s="455"/>
      <c r="H57" s="346"/>
      <c r="I57" s="346"/>
      <c r="J57" s="346"/>
      <c r="K57" s="346"/>
      <c r="L57" s="346"/>
      <c r="M57" s="346"/>
      <c r="N57" s="346"/>
      <c r="O57" s="346"/>
      <c r="P57" s="346"/>
      <c r="Q57" s="346"/>
      <c r="R57" s="346"/>
      <c r="S57" s="346"/>
      <c r="T57" s="346"/>
      <c r="U57" s="346"/>
      <c r="V57" s="346"/>
      <c r="W57" s="346"/>
      <c r="X57" s="346"/>
      <c r="Y57" s="346"/>
      <c r="Z57" s="346"/>
      <c r="AA57" s="346"/>
      <c r="AB57" s="346"/>
      <c r="AC57" s="346"/>
      <c r="AD57" s="346"/>
      <c r="AE57" s="346"/>
      <c r="AF57" s="346"/>
      <c r="AG57" s="346"/>
      <c r="AH57" s="346"/>
      <c r="AI57" s="346"/>
      <c r="AJ57" s="346"/>
      <c r="AK57" s="346"/>
      <c r="AL57" s="346"/>
      <c r="AM57" s="346"/>
      <c r="AN57" s="346"/>
      <c r="AO57" s="346"/>
      <c r="AP57" s="346"/>
      <c r="AQ57" s="346"/>
      <c r="AR57" s="346"/>
      <c r="AS57" s="346"/>
      <c r="AT57" s="346"/>
      <c r="AU57" s="346"/>
      <c r="AV57" s="346"/>
      <c r="AW57" s="346"/>
      <c r="AX57" s="346"/>
      <c r="AY57" s="346"/>
      <c r="AZ57" s="346"/>
      <c r="BA57" s="346"/>
      <c r="BB57" s="346"/>
      <c r="BC57" s="346"/>
      <c r="BD57" s="346"/>
      <c r="BE57" s="346"/>
      <c r="BF57" s="346"/>
      <c r="BG57" s="346"/>
      <c r="BH57" s="346"/>
      <c r="BI57" s="346"/>
      <c r="BJ57" s="346"/>
      <c r="BK57" s="346"/>
      <c r="BL57" s="346"/>
      <c r="BM57" s="346"/>
      <c r="BN57" s="346"/>
      <c r="BO57" s="346"/>
      <c r="BP57" s="346"/>
      <c r="BQ57" s="346"/>
      <c r="BR57" s="346"/>
      <c r="BS57" s="346"/>
      <c r="BT57" s="346"/>
      <c r="BU57" s="346"/>
      <c r="BV57" s="346"/>
      <c r="BW57" s="346"/>
      <c r="BX57" s="346"/>
      <c r="BY57" s="346"/>
      <c r="BZ57" s="346"/>
      <c r="CA57" s="346"/>
      <c r="CB57" s="346"/>
      <c r="CC57" s="346"/>
      <c r="CD57" s="346"/>
      <c r="CE57" s="346"/>
      <c r="CF57" s="346"/>
      <c r="CG57" s="346"/>
      <c r="CH57" s="346"/>
      <c r="CI57" s="346"/>
      <c r="CJ57" s="346"/>
      <c r="CK57" s="346"/>
      <c r="CL57" s="346"/>
      <c r="CM57" s="346"/>
      <c r="CN57" s="346"/>
      <c r="CO57" s="346"/>
      <c r="CP57" s="346"/>
      <c r="CQ57" s="346"/>
      <c r="CR57" s="346"/>
      <c r="CS57" s="346"/>
      <c r="CT57" s="346"/>
      <c r="CU57" s="346"/>
      <c r="CV57" s="346"/>
      <c r="CW57" s="346"/>
      <c r="CX57" s="346"/>
      <c r="CY57" s="346"/>
      <c r="CZ57" s="346"/>
      <c r="DA57" s="346"/>
    </row>
    <row r="58" spans="1:105" s="348" customFormat="1" ht="49.3" customHeight="1" thickBot="1" x14ac:dyDescent="0.55000000000000004">
      <c r="A58" s="386">
        <v>5</v>
      </c>
      <c r="B58" s="387" t="s">
        <v>967</v>
      </c>
      <c r="C58" s="388" t="s">
        <v>972</v>
      </c>
      <c r="D58" s="453"/>
      <c r="E58" s="398">
        <v>1</v>
      </c>
      <c r="F58" s="456"/>
      <c r="H58" s="346"/>
      <c r="I58" s="346"/>
      <c r="J58" s="346"/>
      <c r="K58" s="346"/>
      <c r="L58" s="346"/>
      <c r="M58" s="346"/>
      <c r="N58" s="346"/>
      <c r="O58" s="346"/>
      <c r="P58" s="346"/>
      <c r="Q58" s="346"/>
      <c r="R58" s="346"/>
      <c r="S58" s="346"/>
      <c r="T58" s="346"/>
      <c r="U58" s="346"/>
      <c r="V58" s="346"/>
      <c r="W58" s="346"/>
      <c r="X58" s="346"/>
      <c r="Y58" s="346"/>
      <c r="Z58" s="346"/>
      <c r="AA58" s="346"/>
      <c r="AB58" s="346"/>
      <c r="AC58" s="346"/>
      <c r="AD58" s="346"/>
      <c r="AE58" s="346"/>
      <c r="AF58" s="346"/>
      <c r="AG58" s="346"/>
      <c r="AH58" s="346"/>
      <c r="AI58" s="346"/>
      <c r="AJ58" s="346"/>
      <c r="AK58" s="346"/>
      <c r="AL58" s="346"/>
      <c r="AM58" s="346"/>
      <c r="AN58" s="346"/>
      <c r="AO58" s="346"/>
      <c r="AP58" s="346"/>
      <c r="AQ58" s="346"/>
      <c r="AR58" s="346"/>
      <c r="AS58" s="346"/>
      <c r="AT58" s="346"/>
      <c r="AU58" s="346"/>
      <c r="AV58" s="346"/>
      <c r="AW58" s="346"/>
      <c r="AX58" s="346"/>
      <c r="AY58" s="346"/>
      <c r="AZ58" s="346"/>
      <c r="BA58" s="346"/>
      <c r="BB58" s="346"/>
      <c r="BC58" s="346"/>
      <c r="BD58" s="346"/>
      <c r="BE58" s="346"/>
      <c r="BF58" s="346"/>
      <c r="BG58" s="346"/>
      <c r="BH58" s="346"/>
      <c r="BI58" s="346"/>
      <c r="BJ58" s="346"/>
      <c r="BK58" s="346"/>
      <c r="BL58" s="346"/>
      <c r="BM58" s="346"/>
      <c r="BN58" s="346"/>
      <c r="BO58" s="346"/>
      <c r="BP58" s="346"/>
      <c r="BQ58" s="346"/>
      <c r="BR58" s="346"/>
      <c r="BS58" s="346"/>
      <c r="BT58" s="346"/>
      <c r="BU58" s="346"/>
      <c r="BV58" s="346"/>
      <c r="BW58" s="346"/>
      <c r="BX58" s="346"/>
      <c r="BY58" s="346"/>
      <c r="BZ58" s="346"/>
      <c r="CA58" s="346"/>
      <c r="CB58" s="346"/>
      <c r="CC58" s="346"/>
      <c r="CD58" s="346"/>
      <c r="CE58" s="346"/>
      <c r="CF58" s="346"/>
      <c r="CG58" s="346"/>
      <c r="CH58" s="346"/>
      <c r="CI58" s="346"/>
      <c r="CJ58" s="346"/>
      <c r="CK58" s="346"/>
      <c r="CL58" s="346"/>
      <c r="CM58" s="346"/>
      <c r="CN58" s="346"/>
      <c r="CO58" s="346"/>
      <c r="CP58" s="346"/>
      <c r="CQ58" s="346"/>
      <c r="CR58" s="346"/>
      <c r="CS58" s="346"/>
      <c r="CT58" s="346"/>
      <c r="CU58" s="346"/>
      <c r="CV58" s="346"/>
      <c r="CW58" s="346"/>
      <c r="CX58" s="346"/>
      <c r="CY58" s="346"/>
      <c r="CZ58" s="346"/>
      <c r="DA58" s="346"/>
    </row>
    <row r="59" spans="1:105" s="348" customFormat="1" ht="40.4" customHeight="1" x14ac:dyDescent="0.5">
      <c r="A59" s="449" t="s">
        <v>661</v>
      </c>
      <c r="B59" s="449"/>
      <c r="C59" s="400"/>
      <c r="D59" s="401"/>
      <c r="E59" s="396">
        <f>SUM(E4:E58)</f>
        <v>88</v>
      </c>
      <c r="F59" s="396">
        <f>SUM(F4:F58)</f>
        <v>88</v>
      </c>
      <c r="H59" s="346"/>
      <c r="I59" s="346"/>
      <c r="J59" s="346"/>
      <c r="K59" s="346"/>
      <c r="L59" s="346"/>
      <c r="M59" s="346"/>
      <c r="N59" s="346"/>
      <c r="O59" s="346"/>
      <c r="P59" s="346"/>
      <c r="Q59" s="346"/>
      <c r="R59" s="346"/>
      <c r="S59" s="346"/>
      <c r="T59" s="346"/>
      <c r="U59" s="346"/>
      <c r="V59" s="346"/>
      <c r="W59" s="346"/>
      <c r="X59" s="346"/>
      <c r="Y59" s="346"/>
      <c r="Z59" s="346"/>
      <c r="AA59" s="346"/>
      <c r="AB59" s="346"/>
      <c r="AC59" s="346"/>
      <c r="AD59" s="346"/>
      <c r="AE59" s="346"/>
      <c r="AF59" s="346"/>
      <c r="AG59" s="346"/>
      <c r="AH59" s="346"/>
      <c r="AI59" s="346"/>
      <c r="AJ59" s="346"/>
      <c r="AK59" s="346"/>
      <c r="AL59" s="346"/>
      <c r="AM59" s="346"/>
      <c r="AN59" s="346"/>
      <c r="AO59" s="346"/>
      <c r="AP59" s="346"/>
      <c r="AQ59" s="346"/>
      <c r="AR59" s="346"/>
      <c r="AS59" s="346"/>
      <c r="AT59" s="346"/>
      <c r="AU59" s="346"/>
      <c r="AV59" s="346"/>
      <c r="AW59" s="346"/>
      <c r="AX59" s="346"/>
      <c r="AY59" s="346"/>
      <c r="AZ59" s="346"/>
      <c r="BA59" s="346"/>
      <c r="BB59" s="346"/>
      <c r="BC59" s="346"/>
      <c r="BD59" s="346"/>
      <c r="BE59" s="346"/>
      <c r="BF59" s="346"/>
      <c r="BG59" s="346"/>
      <c r="BH59" s="346"/>
      <c r="BI59" s="346"/>
      <c r="BJ59" s="346"/>
      <c r="BK59" s="346"/>
      <c r="BL59" s="346"/>
      <c r="BM59" s="346"/>
      <c r="BN59" s="346"/>
      <c r="BO59" s="346"/>
      <c r="BP59" s="346"/>
      <c r="BQ59" s="346"/>
      <c r="BR59" s="346"/>
      <c r="BS59" s="346"/>
      <c r="BT59" s="346"/>
      <c r="BU59" s="346"/>
      <c r="BV59" s="346"/>
      <c r="BW59" s="346"/>
      <c r="BX59" s="346"/>
      <c r="BY59" s="346"/>
      <c r="BZ59" s="346"/>
      <c r="CA59" s="346"/>
      <c r="CB59" s="346"/>
      <c r="CC59" s="346"/>
      <c r="CD59" s="346"/>
      <c r="CE59" s="346"/>
      <c r="CF59" s="346"/>
      <c r="CG59" s="346"/>
      <c r="CH59" s="346"/>
      <c r="CI59" s="346"/>
      <c r="CJ59" s="346"/>
      <c r="CK59" s="346"/>
      <c r="CL59" s="346"/>
      <c r="CM59" s="346"/>
      <c r="CN59" s="346"/>
      <c r="CO59" s="346"/>
      <c r="CP59" s="346"/>
      <c r="CQ59" s="346"/>
      <c r="CR59" s="346"/>
      <c r="CS59" s="346"/>
      <c r="CT59" s="346"/>
      <c r="CU59" s="346"/>
      <c r="CV59" s="346"/>
      <c r="CW59" s="346"/>
    </row>
    <row r="60" spans="1:105" s="348" customFormat="1" ht="40.4" customHeight="1" x14ac:dyDescent="0.5">
      <c r="A60" s="343"/>
      <c r="B60" s="367"/>
      <c r="C60" s="344"/>
      <c r="D60" s="343"/>
      <c r="E60" s="343"/>
      <c r="F60" s="346"/>
      <c r="H60" s="346"/>
      <c r="I60" s="346"/>
      <c r="J60" s="346"/>
      <c r="K60" s="346"/>
      <c r="L60" s="346"/>
      <c r="M60" s="346"/>
      <c r="N60" s="346"/>
      <c r="O60" s="346"/>
      <c r="P60" s="346"/>
      <c r="Q60" s="346"/>
      <c r="R60" s="346"/>
      <c r="S60" s="346"/>
      <c r="T60" s="346"/>
      <c r="U60" s="346"/>
      <c r="V60" s="346"/>
      <c r="W60" s="346"/>
      <c r="X60" s="346"/>
      <c r="Y60" s="346"/>
      <c r="Z60" s="346"/>
      <c r="AA60" s="346"/>
      <c r="AB60" s="346"/>
      <c r="AC60" s="346"/>
      <c r="AD60" s="346"/>
      <c r="AE60" s="346"/>
      <c r="AF60" s="346"/>
      <c r="AG60" s="346"/>
      <c r="AH60" s="346"/>
      <c r="AI60" s="346"/>
      <c r="AJ60" s="346"/>
      <c r="AK60" s="346"/>
      <c r="AL60" s="346"/>
      <c r="AM60" s="346"/>
      <c r="AN60" s="346"/>
      <c r="AO60" s="346"/>
      <c r="AP60" s="346"/>
      <c r="AQ60" s="346"/>
      <c r="AR60" s="346"/>
      <c r="AS60" s="346"/>
      <c r="AT60" s="346"/>
      <c r="AU60" s="346"/>
      <c r="AV60" s="346"/>
      <c r="AW60" s="346"/>
      <c r="AX60" s="346"/>
      <c r="AY60" s="346"/>
      <c r="AZ60" s="346"/>
      <c r="BA60" s="346"/>
      <c r="BB60" s="346"/>
      <c r="BC60" s="346"/>
      <c r="BD60" s="346"/>
      <c r="BE60" s="346"/>
      <c r="BF60" s="346"/>
      <c r="BG60" s="346"/>
      <c r="BH60" s="346"/>
      <c r="BI60" s="346"/>
      <c r="BJ60" s="346"/>
      <c r="BK60" s="346"/>
      <c r="BL60" s="346"/>
      <c r="BM60" s="346"/>
      <c r="BN60" s="346"/>
      <c r="BO60" s="346"/>
      <c r="BP60" s="346"/>
      <c r="BQ60" s="346"/>
      <c r="BR60" s="346"/>
      <c r="BS60" s="346"/>
      <c r="BT60" s="346"/>
      <c r="BU60" s="346"/>
      <c r="BV60" s="346"/>
      <c r="BW60" s="346"/>
      <c r="BX60" s="346"/>
      <c r="BY60" s="346"/>
      <c r="BZ60" s="346"/>
      <c r="CA60" s="346"/>
      <c r="CB60" s="346"/>
      <c r="CC60" s="346"/>
      <c r="CD60" s="346"/>
      <c r="CE60" s="346"/>
      <c r="CF60" s="346"/>
      <c r="CG60" s="346"/>
      <c r="CH60" s="346"/>
      <c r="CI60" s="346"/>
      <c r="CJ60" s="346"/>
      <c r="CK60" s="346"/>
      <c r="CL60" s="346"/>
      <c r="CM60" s="346"/>
      <c r="CN60" s="346"/>
      <c r="CO60" s="346"/>
      <c r="CP60" s="346"/>
      <c r="CQ60" s="346"/>
      <c r="CR60" s="346"/>
      <c r="CS60" s="346"/>
      <c r="CT60" s="346"/>
      <c r="CU60" s="346"/>
      <c r="CV60" s="346"/>
      <c r="CW60" s="346"/>
    </row>
    <row r="61" spans="1:105" ht="40.4" customHeight="1" x14ac:dyDescent="0.5">
      <c r="B61" s="367"/>
    </row>
    <row r="62" spans="1:105" ht="40.4" customHeight="1" x14ac:dyDescent="0.5">
      <c r="B62" s="367"/>
    </row>
    <row r="65" spans="1:5" ht="25.85" customHeight="1" x14ac:dyDescent="0.5"/>
    <row r="66" spans="1:5" ht="40.4" customHeight="1" x14ac:dyDescent="0.5">
      <c r="A66" s="375"/>
      <c r="B66" s="376"/>
      <c r="C66" s="378"/>
      <c r="D66" s="375"/>
      <c r="E66" s="375"/>
    </row>
    <row r="67" spans="1:5" ht="43.85" customHeight="1" x14ac:dyDescent="0.5">
      <c r="A67" s="375"/>
      <c r="B67" s="376"/>
      <c r="C67" s="378"/>
      <c r="D67" s="375"/>
      <c r="E67" s="375"/>
    </row>
    <row r="68" spans="1:5" ht="31.95" customHeight="1" x14ac:dyDescent="0.5"/>
    <row r="69" spans="1:5" ht="31.95" customHeight="1" x14ac:dyDescent="0.5"/>
    <row r="70" spans="1:5" ht="22.85" customHeight="1" x14ac:dyDescent="0.5"/>
    <row r="71" spans="1:5" ht="37.1" customHeight="1" x14ac:dyDescent="0.5"/>
    <row r="72" spans="1:5" ht="16.149999999999999" customHeight="1" x14ac:dyDescent="0.5"/>
    <row r="73" spans="1:5" ht="29.45" customHeight="1" x14ac:dyDescent="0.5"/>
    <row r="74" spans="1:5" ht="37.1" customHeight="1" x14ac:dyDescent="0.5"/>
  </sheetData>
  <autoFilter ref="A3:G58"/>
  <sortState ref="A4:DA58">
    <sortCondition ref="D4:D58"/>
  </sortState>
  <mergeCells count="20">
    <mergeCell ref="A59:B59"/>
    <mergeCell ref="F14:F16"/>
    <mergeCell ref="D4:D13"/>
    <mergeCell ref="D14:D16"/>
    <mergeCell ref="D25:D33"/>
    <mergeCell ref="D34:D45"/>
    <mergeCell ref="D46:D53"/>
    <mergeCell ref="D54:D58"/>
    <mergeCell ref="D17:D24"/>
    <mergeCell ref="F4:F13"/>
    <mergeCell ref="F17:F24"/>
    <mergeCell ref="F25:F33"/>
    <mergeCell ref="F34:F45"/>
    <mergeCell ref="F46:F53"/>
    <mergeCell ref="F54:F58"/>
    <mergeCell ref="F2:F3"/>
    <mergeCell ref="E2:E3"/>
    <mergeCell ref="A2:A3"/>
    <mergeCell ref="D2:D3"/>
    <mergeCell ref="B2:C3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2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H53"/>
  <sheetViews>
    <sheetView topLeftCell="D37" workbookViewId="0">
      <selection activeCell="K19" sqref="K19"/>
    </sheetView>
  </sheetViews>
  <sheetFormatPr defaultRowHeight="15.05" x14ac:dyDescent="0.3"/>
  <cols>
    <col min="1" max="1" width="5.33203125" hidden="1" customWidth="1"/>
    <col min="2" max="2" width="29.6640625" hidden="1" customWidth="1"/>
    <col min="3" max="3" width="0" hidden="1" customWidth="1"/>
    <col min="5" max="5" width="7.6640625" style="223" customWidth="1"/>
    <col min="6" max="7" width="5.6640625" style="223" customWidth="1"/>
    <col min="8" max="8" width="6.6640625" style="223" customWidth="1"/>
    <col min="9" max="9" width="8" style="223" customWidth="1"/>
    <col min="10" max="10" width="9.33203125" style="223" customWidth="1"/>
    <col min="11" max="11" width="9.6640625" style="223" customWidth="1"/>
    <col min="12" max="12" width="10.6640625" style="223" customWidth="1"/>
    <col min="13" max="13" width="8.33203125" style="223" customWidth="1"/>
    <col min="14" max="14" width="8.6640625" style="223" customWidth="1"/>
    <col min="15" max="15" width="7.33203125" style="224" customWidth="1"/>
    <col min="16" max="16" width="9.6640625" style="224" customWidth="1"/>
    <col min="17" max="17" width="7.33203125" style="224" customWidth="1"/>
    <col min="18" max="18" width="8.6640625" style="224" customWidth="1"/>
    <col min="19" max="19" width="9.33203125" style="224" customWidth="1"/>
    <col min="20" max="20" width="12.6640625" style="224" customWidth="1"/>
    <col min="21" max="21" width="10.33203125" style="224" customWidth="1"/>
    <col min="22" max="22" width="11.33203125" style="224" customWidth="1"/>
    <col min="23" max="24" width="7.6640625" style="224" customWidth="1"/>
    <col min="25" max="25" width="7.44140625" style="225" customWidth="1"/>
    <col min="26" max="26" width="8" style="225" customWidth="1"/>
    <col min="27" max="27" width="7.6640625" style="225" customWidth="1"/>
    <col min="28" max="28" width="9" style="225" customWidth="1"/>
    <col min="29" max="29" width="8.6640625" style="225" customWidth="1"/>
    <col min="30" max="30" width="9.44140625" style="225" customWidth="1"/>
    <col min="31" max="31" width="10.6640625" style="225" customWidth="1"/>
    <col min="32" max="32" width="10.44140625" style="225" customWidth="1"/>
    <col min="33" max="33" width="9.6640625" style="225" customWidth="1"/>
    <col min="34" max="34" width="10" style="225" customWidth="1"/>
    <col min="258" max="258" width="5.33203125" customWidth="1"/>
    <col min="259" max="259" width="24.33203125" customWidth="1"/>
    <col min="261" max="290" width="5.6640625" customWidth="1"/>
    <col min="514" max="514" width="5.33203125" customWidth="1"/>
    <col min="515" max="515" width="24.33203125" customWidth="1"/>
    <col min="517" max="546" width="5.6640625" customWidth="1"/>
    <col min="770" max="770" width="5.33203125" customWidth="1"/>
    <col min="771" max="771" width="24.33203125" customWidth="1"/>
    <col min="773" max="802" width="5.6640625" customWidth="1"/>
    <col min="1026" max="1026" width="5.33203125" customWidth="1"/>
    <col min="1027" max="1027" width="24.33203125" customWidth="1"/>
    <col min="1029" max="1058" width="5.6640625" customWidth="1"/>
    <col min="1282" max="1282" width="5.33203125" customWidth="1"/>
    <col min="1283" max="1283" width="24.33203125" customWidth="1"/>
    <col min="1285" max="1314" width="5.6640625" customWidth="1"/>
    <col min="1538" max="1538" width="5.33203125" customWidth="1"/>
    <col min="1539" max="1539" width="24.33203125" customWidth="1"/>
    <col min="1541" max="1570" width="5.6640625" customWidth="1"/>
    <col min="1794" max="1794" width="5.33203125" customWidth="1"/>
    <col min="1795" max="1795" width="24.33203125" customWidth="1"/>
    <col min="1797" max="1826" width="5.6640625" customWidth="1"/>
    <col min="2050" max="2050" width="5.33203125" customWidth="1"/>
    <col min="2051" max="2051" width="24.33203125" customWidth="1"/>
    <col min="2053" max="2082" width="5.6640625" customWidth="1"/>
    <col min="2306" max="2306" width="5.33203125" customWidth="1"/>
    <col min="2307" max="2307" width="24.33203125" customWidth="1"/>
    <col min="2309" max="2338" width="5.6640625" customWidth="1"/>
    <col min="2562" max="2562" width="5.33203125" customWidth="1"/>
    <col min="2563" max="2563" width="24.33203125" customWidth="1"/>
    <col min="2565" max="2594" width="5.6640625" customWidth="1"/>
    <col min="2818" max="2818" width="5.33203125" customWidth="1"/>
    <col min="2819" max="2819" width="24.33203125" customWidth="1"/>
    <col min="2821" max="2850" width="5.6640625" customWidth="1"/>
    <col min="3074" max="3074" width="5.33203125" customWidth="1"/>
    <col min="3075" max="3075" width="24.33203125" customWidth="1"/>
    <col min="3077" max="3106" width="5.6640625" customWidth="1"/>
    <col min="3330" max="3330" width="5.33203125" customWidth="1"/>
    <col min="3331" max="3331" width="24.33203125" customWidth="1"/>
    <col min="3333" max="3362" width="5.6640625" customWidth="1"/>
    <col min="3586" max="3586" width="5.33203125" customWidth="1"/>
    <col min="3587" max="3587" width="24.33203125" customWidth="1"/>
    <col min="3589" max="3618" width="5.6640625" customWidth="1"/>
    <col min="3842" max="3842" width="5.33203125" customWidth="1"/>
    <col min="3843" max="3843" width="24.33203125" customWidth="1"/>
    <col min="3845" max="3874" width="5.6640625" customWidth="1"/>
    <col min="4098" max="4098" width="5.33203125" customWidth="1"/>
    <col min="4099" max="4099" width="24.33203125" customWidth="1"/>
    <col min="4101" max="4130" width="5.6640625" customWidth="1"/>
    <col min="4354" max="4354" width="5.33203125" customWidth="1"/>
    <col min="4355" max="4355" width="24.33203125" customWidth="1"/>
    <col min="4357" max="4386" width="5.6640625" customWidth="1"/>
    <col min="4610" max="4610" width="5.33203125" customWidth="1"/>
    <col min="4611" max="4611" width="24.33203125" customWidth="1"/>
    <col min="4613" max="4642" width="5.6640625" customWidth="1"/>
    <col min="4866" max="4866" width="5.33203125" customWidth="1"/>
    <col min="4867" max="4867" width="24.33203125" customWidth="1"/>
    <col min="4869" max="4898" width="5.6640625" customWidth="1"/>
    <col min="5122" max="5122" width="5.33203125" customWidth="1"/>
    <col min="5123" max="5123" width="24.33203125" customWidth="1"/>
    <col min="5125" max="5154" width="5.6640625" customWidth="1"/>
    <col min="5378" max="5378" width="5.33203125" customWidth="1"/>
    <col min="5379" max="5379" width="24.33203125" customWidth="1"/>
    <col min="5381" max="5410" width="5.6640625" customWidth="1"/>
    <col min="5634" max="5634" width="5.33203125" customWidth="1"/>
    <col min="5635" max="5635" width="24.33203125" customWidth="1"/>
    <col min="5637" max="5666" width="5.6640625" customWidth="1"/>
    <col min="5890" max="5890" width="5.33203125" customWidth="1"/>
    <col min="5891" max="5891" width="24.33203125" customWidth="1"/>
    <col min="5893" max="5922" width="5.6640625" customWidth="1"/>
    <col min="6146" max="6146" width="5.33203125" customWidth="1"/>
    <col min="6147" max="6147" width="24.33203125" customWidth="1"/>
    <col min="6149" max="6178" width="5.6640625" customWidth="1"/>
    <col min="6402" max="6402" width="5.33203125" customWidth="1"/>
    <col min="6403" max="6403" width="24.33203125" customWidth="1"/>
    <col min="6405" max="6434" width="5.6640625" customWidth="1"/>
    <col min="6658" max="6658" width="5.33203125" customWidth="1"/>
    <col min="6659" max="6659" width="24.33203125" customWidth="1"/>
    <col min="6661" max="6690" width="5.6640625" customWidth="1"/>
    <col min="6914" max="6914" width="5.33203125" customWidth="1"/>
    <col min="6915" max="6915" width="24.33203125" customWidth="1"/>
    <col min="6917" max="6946" width="5.6640625" customWidth="1"/>
    <col min="7170" max="7170" width="5.33203125" customWidth="1"/>
    <col min="7171" max="7171" width="24.33203125" customWidth="1"/>
    <col min="7173" max="7202" width="5.6640625" customWidth="1"/>
    <col min="7426" max="7426" width="5.33203125" customWidth="1"/>
    <col min="7427" max="7427" width="24.33203125" customWidth="1"/>
    <col min="7429" max="7458" width="5.6640625" customWidth="1"/>
    <col min="7682" max="7682" width="5.33203125" customWidth="1"/>
    <col min="7683" max="7683" width="24.33203125" customWidth="1"/>
    <col min="7685" max="7714" width="5.6640625" customWidth="1"/>
    <col min="7938" max="7938" width="5.33203125" customWidth="1"/>
    <col min="7939" max="7939" width="24.33203125" customWidth="1"/>
    <col min="7941" max="7970" width="5.6640625" customWidth="1"/>
    <col min="8194" max="8194" width="5.33203125" customWidth="1"/>
    <col min="8195" max="8195" width="24.33203125" customWidth="1"/>
    <col min="8197" max="8226" width="5.6640625" customWidth="1"/>
    <col min="8450" max="8450" width="5.33203125" customWidth="1"/>
    <col min="8451" max="8451" width="24.33203125" customWidth="1"/>
    <col min="8453" max="8482" width="5.6640625" customWidth="1"/>
    <col min="8706" max="8706" width="5.33203125" customWidth="1"/>
    <col min="8707" max="8707" width="24.33203125" customWidth="1"/>
    <col min="8709" max="8738" width="5.6640625" customWidth="1"/>
    <col min="8962" max="8962" width="5.33203125" customWidth="1"/>
    <col min="8963" max="8963" width="24.33203125" customWidth="1"/>
    <col min="8965" max="8994" width="5.6640625" customWidth="1"/>
    <col min="9218" max="9218" width="5.33203125" customWidth="1"/>
    <col min="9219" max="9219" width="24.33203125" customWidth="1"/>
    <col min="9221" max="9250" width="5.6640625" customWidth="1"/>
    <col min="9474" max="9474" width="5.33203125" customWidth="1"/>
    <col min="9475" max="9475" width="24.33203125" customWidth="1"/>
    <col min="9477" max="9506" width="5.6640625" customWidth="1"/>
    <col min="9730" max="9730" width="5.33203125" customWidth="1"/>
    <col min="9731" max="9731" width="24.33203125" customWidth="1"/>
    <col min="9733" max="9762" width="5.6640625" customWidth="1"/>
    <col min="9986" max="9986" width="5.33203125" customWidth="1"/>
    <col min="9987" max="9987" width="24.33203125" customWidth="1"/>
    <col min="9989" max="10018" width="5.6640625" customWidth="1"/>
    <col min="10242" max="10242" width="5.33203125" customWidth="1"/>
    <col min="10243" max="10243" width="24.33203125" customWidth="1"/>
    <col min="10245" max="10274" width="5.6640625" customWidth="1"/>
    <col min="10498" max="10498" width="5.33203125" customWidth="1"/>
    <col min="10499" max="10499" width="24.33203125" customWidth="1"/>
    <col min="10501" max="10530" width="5.6640625" customWidth="1"/>
    <col min="10754" max="10754" width="5.33203125" customWidth="1"/>
    <col min="10755" max="10755" width="24.33203125" customWidth="1"/>
    <col min="10757" max="10786" width="5.6640625" customWidth="1"/>
    <col min="11010" max="11010" width="5.33203125" customWidth="1"/>
    <col min="11011" max="11011" width="24.33203125" customWidth="1"/>
    <col min="11013" max="11042" width="5.6640625" customWidth="1"/>
    <col min="11266" max="11266" width="5.33203125" customWidth="1"/>
    <col min="11267" max="11267" width="24.33203125" customWidth="1"/>
    <col min="11269" max="11298" width="5.6640625" customWidth="1"/>
    <col min="11522" max="11522" width="5.33203125" customWidth="1"/>
    <col min="11523" max="11523" width="24.33203125" customWidth="1"/>
    <col min="11525" max="11554" width="5.6640625" customWidth="1"/>
    <col min="11778" max="11778" width="5.33203125" customWidth="1"/>
    <col min="11779" max="11779" width="24.33203125" customWidth="1"/>
    <col min="11781" max="11810" width="5.6640625" customWidth="1"/>
    <col min="12034" max="12034" width="5.33203125" customWidth="1"/>
    <col min="12035" max="12035" width="24.33203125" customWidth="1"/>
    <col min="12037" max="12066" width="5.6640625" customWidth="1"/>
    <col min="12290" max="12290" width="5.33203125" customWidth="1"/>
    <col min="12291" max="12291" width="24.33203125" customWidth="1"/>
    <col min="12293" max="12322" width="5.6640625" customWidth="1"/>
    <col min="12546" max="12546" width="5.33203125" customWidth="1"/>
    <col min="12547" max="12547" width="24.33203125" customWidth="1"/>
    <col min="12549" max="12578" width="5.6640625" customWidth="1"/>
    <col min="12802" max="12802" width="5.33203125" customWidth="1"/>
    <col min="12803" max="12803" width="24.33203125" customWidth="1"/>
    <col min="12805" max="12834" width="5.6640625" customWidth="1"/>
    <col min="13058" max="13058" width="5.33203125" customWidth="1"/>
    <col min="13059" max="13059" width="24.33203125" customWidth="1"/>
    <col min="13061" max="13090" width="5.6640625" customWidth="1"/>
    <col min="13314" max="13314" width="5.33203125" customWidth="1"/>
    <col min="13315" max="13315" width="24.33203125" customWidth="1"/>
    <col min="13317" max="13346" width="5.6640625" customWidth="1"/>
    <col min="13570" max="13570" width="5.33203125" customWidth="1"/>
    <col min="13571" max="13571" width="24.33203125" customWidth="1"/>
    <col min="13573" max="13602" width="5.6640625" customWidth="1"/>
    <col min="13826" max="13826" width="5.33203125" customWidth="1"/>
    <col min="13827" max="13827" width="24.33203125" customWidth="1"/>
    <col min="13829" max="13858" width="5.6640625" customWidth="1"/>
    <col min="14082" max="14082" width="5.33203125" customWidth="1"/>
    <col min="14083" max="14083" width="24.33203125" customWidth="1"/>
    <col min="14085" max="14114" width="5.6640625" customWidth="1"/>
    <col min="14338" max="14338" width="5.33203125" customWidth="1"/>
    <col min="14339" max="14339" width="24.33203125" customWidth="1"/>
    <col min="14341" max="14370" width="5.6640625" customWidth="1"/>
    <col min="14594" max="14594" width="5.33203125" customWidth="1"/>
    <col min="14595" max="14595" width="24.33203125" customWidth="1"/>
    <col min="14597" max="14626" width="5.6640625" customWidth="1"/>
    <col min="14850" max="14850" width="5.33203125" customWidth="1"/>
    <col min="14851" max="14851" width="24.33203125" customWidth="1"/>
    <col min="14853" max="14882" width="5.6640625" customWidth="1"/>
    <col min="15106" max="15106" width="5.33203125" customWidth="1"/>
    <col min="15107" max="15107" width="24.33203125" customWidth="1"/>
    <col min="15109" max="15138" width="5.6640625" customWidth="1"/>
    <col min="15362" max="15362" width="5.33203125" customWidth="1"/>
    <col min="15363" max="15363" width="24.33203125" customWidth="1"/>
    <col min="15365" max="15394" width="5.6640625" customWidth="1"/>
    <col min="15618" max="15618" width="5.33203125" customWidth="1"/>
    <col min="15619" max="15619" width="24.33203125" customWidth="1"/>
    <col min="15621" max="15650" width="5.6640625" customWidth="1"/>
    <col min="15874" max="15874" width="5.33203125" customWidth="1"/>
    <col min="15875" max="15875" width="24.33203125" customWidth="1"/>
    <col min="15877" max="15906" width="5.6640625" customWidth="1"/>
    <col min="16130" max="16130" width="5.33203125" customWidth="1"/>
    <col min="16131" max="16131" width="24.33203125" customWidth="1"/>
    <col min="16133" max="16162" width="5.6640625" customWidth="1"/>
  </cols>
  <sheetData>
    <row r="1" spans="1:34" x14ac:dyDescent="0.3"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</row>
    <row r="2" spans="1:34" x14ac:dyDescent="0.3">
      <c r="B2" s="473" t="s">
        <v>824</v>
      </c>
      <c r="C2" s="473"/>
      <c r="D2" s="473"/>
      <c r="E2" s="473"/>
      <c r="F2" s="473"/>
      <c r="G2" s="473"/>
      <c r="H2" s="473"/>
      <c r="I2" s="474" t="s">
        <v>825</v>
      </c>
      <c r="J2" s="474"/>
      <c r="K2" s="474"/>
      <c r="L2" s="474"/>
      <c r="M2" s="474"/>
      <c r="N2" s="474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</row>
    <row r="3" spans="1:34" ht="12.7" customHeight="1" x14ac:dyDescent="0.3">
      <c r="B3" s="475" t="s">
        <v>826</v>
      </c>
      <c r="C3" s="475"/>
      <c r="D3" s="475"/>
      <c r="E3" s="475"/>
      <c r="F3" s="475"/>
      <c r="G3" s="475"/>
      <c r="H3" s="475"/>
      <c r="I3" s="474"/>
      <c r="J3" s="474"/>
      <c r="K3" s="474"/>
      <c r="L3" s="474"/>
      <c r="M3" s="474"/>
      <c r="N3" s="474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</row>
    <row r="4" spans="1:34" ht="12.7" customHeight="1" x14ac:dyDescent="0.3">
      <c r="B4" s="475" t="s">
        <v>827</v>
      </c>
      <c r="C4" s="475"/>
      <c r="D4" s="475"/>
      <c r="E4" s="475"/>
      <c r="F4" s="475"/>
      <c r="G4" s="475"/>
      <c r="H4" s="475"/>
      <c r="I4" s="474"/>
      <c r="J4" s="474"/>
      <c r="K4" s="474"/>
      <c r="L4" s="474"/>
      <c r="M4" s="474"/>
      <c r="N4" s="47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</row>
    <row r="5" spans="1:34" x14ac:dyDescent="0.3"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</row>
    <row r="6" spans="1:34" ht="42.75" customHeight="1" x14ac:dyDescent="0.3">
      <c r="A6" s="468" t="s">
        <v>76</v>
      </c>
      <c r="B6" s="469"/>
      <c r="C6" s="468"/>
      <c r="D6" s="204"/>
      <c r="E6" s="470" t="s">
        <v>828</v>
      </c>
      <c r="F6" s="471"/>
      <c r="G6" s="471"/>
      <c r="H6" s="471"/>
      <c r="I6" s="472"/>
      <c r="J6" s="470" t="s">
        <v>829</v>
      </c>
      <c r="K6" s="471"/>
      <c r="L6" s="471"/>
      <c r="M6" s="471"/>
      <c r="N6" s="472"/>
      <c r="O6" s="462" t="s">
        <v>830</v>
      </c>
      <c r="P6" s="463"/>
      <c r="Q6" s="463"/>
      <c r="R6" s="463"/>
      <c r="S6" s="464"/>
      <c r="T6" s="462" t="s">
        <v>831</v>
      </c>
      <c r="U6" s="463"/>
      <c r="V6" s="463"/>
      <c r="W6" s="463"/>
      <c r="X6" s="464"/>
      <c r="Y6" s="465" t="s">
        <v>832</v>
      </c>
      <c r="Z6" s="466"/>
      <c r="AA6" s="466"/>
      <c r="AB6" s="466"/>
      <c r="AC6" s="467"/>
      <c r="AD6" s="465" t="s">
        <v>833</v>
      </c>
      <c r="AE6" s="466"/>
      <c r="AF6" s="466"/>
      <c r="AG6" s="466"/>
      <c r="AH6" s="467"/>
    </row>
    <row r="7" spans="1:34" s="212" customFormat="1" ht="16.45" customHeight="1" x14ac:dyDescent="0.3">
      <c r="A7" s="468"/>
      <c r="B7" s="469"/>
      <c r="C7" s="468"/>
      <c r="D7" s="205"/>
      <c r="E7" s="206">
        <v>2016</v>
      </c>
      <c r="F7" s="207">
        <v>2017</v>
      </c>
      <c r="G7" s="207">
        <v>2018</v>
      </c>
      <c r="H7" s="207">
        <v>2019</v>
      </c>
      <c r="I7" s="207">
        <v>2020</v>
      </c>
      <c r="J7" s="206">
        <v>2016</v>
      </c>
      <c r="K7" s="207">
        <v>2017</v>
      </c>
      <c r="L7" s="207">
        <v>2018</v>
      </c>
      <c r="M7" s="207">
        <v>2019</v>
      </c>
      <c r="N7" s="207">
        <v>2020</v>
      </c>
      <c r="O7" s="208">
        <v>2016</v>
      </c>
      <c r="P7" s="209">
        <v>2017</v>
      </c>
      <c r="Q7" s="209">
        <v>2018</v>
      </c>
      <c r="R7" s="209">
        <v>2019</v>
      </c>
      <c r="S7" s="209">
        <v>2020</v>
      </c>
      <c r="T7" s="208">
        <v>2016</v>
      </c>
      <c r="U7" s="209">
        <v>2017</v>
      </c>
      <c r="V7" s="209">
        <v>2018</v>
      </c>
      <c r="W7" s="209">
        <v>2019</v>
      </c>
      <c r="X7" s="209">
        <v>2020</v>
      </c>
      <c r="Y7" s="210">
        <v>2016</v>
      </c>
      <c r="Z7" s="211">
        <v>2017</v>
      </c>
      <c r="AA7" s="211">
        <v>2018</v>
      </c>
      <c r="AB7" s="211">
        <v>2019</v>
      </c>
      <c r="AC7" s="211">
        <v>2020</v>
      </c>
      <c r="AD7" s="210">
        <v>2016</v>
      </c>
      <c r="AE7" s="211">
        <v>2017</v>
      </c>
      <c r="AF7" s="211">
        <v>2018</v>
      </c>
      <c r="AG7" s="211">
        <v>2019</v>
      </c>
      <c r="AH7" s="211">
        <v>2020</v>
      </c>
    </row>
    <row r="8" spans="1:34" ht="15.05" customHeight="1" x14ac:dyDescent="0.3">
      <c r="A8" s="213">
        <v>1</v>
      </c>
      <c r="B8" s="214" t="s">
        <v>834</v>
      </c>
      <c r="C8" s="215" t="s">
        <v>835</v>
      </c>
      <c r="D8" s="205" t="s">
        <v>836</v>
      </c>
      <c r="E8" s="218">
        <f>584.735+1244.093</f>
        <v>1828.828</v>
      </c>
      <c r="F8" s="218">
        <v>1912</v>
      </c>
      <c r="G8" s="218">
        <v>1947.8440000000003</v>
      </c>
      <c r="H8" s="218">
        <v>1940.6960000000001</v>
      </c>
      <c r="I8" s="218">
        <v>2138.3010000000004</v>
      </c>
      <c r="J8" s="218">
        <v>2701712</v>
      </c>
      <c r="K8" s="218">
        <v>2776338</v>
      </c>
      <c r="L8" s="218">
        <v>2969183.95</v>
      </c>
      <c r="M8" s="218">
        <v>2303479</v>
      </c>
      <c r="N8" s="218">
        <v>2648921</v>
      </c>
      <c r="O8" s="216">
        <v>452995</v>
      </c>
      <c r="P8" s="216">
        <v>452073</v>
      </c>
      <c r="Q8" s="216">
        <v>458483</v>
      </c>
      <c r="R8" s="216">
        <v>435988</v>
      </c>
      <c r="S8" s="216">
        <v>437450</v>
      </c>
      <c r="T8" s="216">
        <v>1075500</v>
      </c>
      <c r="U8" s="216">
        <v>968026</v>
      </c>
      <c r="V8" s="216">
        <v>1171013.8</v>
      </c>
      <c r="W8" s="216">
        <v>1114882</v>
      </c>
      <c r="X8" s="216">
        <v>1101194</v>
      </c>
      <c r="Y8" s="217">
        <v>19062</v>
      </c>
      <c r="Z8" s="217">
        <v>18855</v>
      </c>
      <c r="AA8" s="217">
        <v>17919</v>
      </c>
      <c r="AB8" s="217">
        <v>18004</v>
      </c>
      <c r="AC8" s="217">
        <v>17502</v>
      </c>
      <c r="AD8" s="217">
        <v>437756</v>
      </c>
      <c r="AE8" s="217">
        <v>449876</v>
      </c>
      <c r="AF8" s="217">
        <v>444920.46</v>
      </c>
      <c r="AG8" s="217">
        <f>910785+248389</f>
        <v>1159174</v>
      </c>
      <c r="AH8" s="217">
        <f>936179+280726</f>
        <v>1216905</v>
      </c>
    </row>
    <row r="9" spans="1:34" ht="13.3" customHeight="1" x14ac:dyDescent="0.3">
      <c r="A9" s="213">
        <v>2</v>
      </c>
      <c r="B9" s="214" t="s">
        <v>834</v>
      </c>
      <c r="C9" s="215" t="s">
        <v>837</v>
      </c>
      <c r="D9" s="205" t="s">
        <v>838</v>
      </c>
      <c r="E9" s="218">
        <f>542.046+1206.742</f>
        <v>1748.788</v>
      </c>
      <c r="F9" s="218">
        <f>1243.553+598.549</f>
        <v>1842.1020000000001</v>
      </c>
      <c r="G9" s="218">
        <v>1896.5550000000003</v>
      </c>
      <c r="H9" s="218">
        <f>1371.816+521.196</f>
        <v>1893.0120000000002</v>
      </c>
      <c r="I9" s="218">
        <v>2083.567</v>
      </c>
      <c r="J9" s="218">
        <v>2568407</v>
      </c>
      <c r="K9" s="218">
        <v>2640405</v>
      </c>
      <c r="L9" s="218">
        <v>2881302.15</v>
      </c>
      <c r="M9" s="218">
        <v>2194499</v>
      </c>
      <c r="N9" s="218">
        <v>2523602</v>
      </c>
      <c r="O9" s="216">
        <v>546120</v>
      </c>
      <c r="P9" s="216">
        <v>532277</v>
      </c>
      <c r="Q9" s="216">
        <v>511966</v>
      </c>
      <c r="R9" s="216">
        <v>476688</v>
      </c>
      <c r="S9" s="216">
        <v>490584</v>
      </c>
      <c r="T9" s="216">
        <v>1156354</v>
      </c>
      <c r="U9" s="216">
        <v>998804</v>
      </c>
      <c r="V9" s="216">
        <v>1364279.42</v>
      </c>
      <c r="W9" s="216">
        <v>1164736</v>
      </c>
      <c r="X9" s="216">
        <v>1327197</v>
      </c>
      <c r="Y9" s="217">
        <v>17795</v>
      </c>
      <c r="Z9" s="217">
        <v>19459</v>
      </c>
      <c r="AA9" s="217">
        <v>22526</v>
      </c>
      <c r="AB9" s="217">
        <v>22907</v>
      </c>
      <c r="AC9" s="217">
        <v>24521</v>
      </c>
      <c r="AD9" s="217">
        <v>386604</v>
      </c>
      <c r="AE9" s="217">
        <v>387012</v>
      </c>
      <c r="AF9" s="217">
        <v>446174.7</v>
      </c>
      <c r="AG9" s="217">
        <f>890556+288299</f>
        <v>1178855</v>
      </c>
      <c r="AH9" s="217">
        <f>899707+287438</f>
        <v>1187145</v>
      </c>
    </row>
    <row r="10" spans="1:34" ht="15.05" customHeight="1" x14ac:dyDescent="0.3">
      <c r="A10" s="213">
        <v>3</v>
      </c>
      <c r="B10" s="214" t="s">
        <v>839</v>
      </c>
      <c r="C10" s="215" t="s">
        <v>835</v>
      </c>
      <c r="D10" s="205">
        <v>42</v>
      </c>
      <c r="E10" s="218">
        <f>184.004+368.056</f>
        <v>552.05999999999995</v>
      </c>
      <c r="F10" s="218">
        <v>524</v>
      </c>
      <c r="G10" s="218">
        <v>469.83300000000008</v>
      </c>
      <c r="H10" s="218">
        <v>455.97700000000003</v>
      </c>
      <c r="I10" s="218">
        <v>441.29300000000001</v>
      </c>
      <c r="J10" s="218">
        <v>884558</v>
      </c>
      <c r="K10" s="218">
        <v>854930</v>
      </c>
      <c r="L10" s="218">
        <v>728521.07</v>
      </c>
      <c r="M10" s="218">
        <v>551287</v>
      </c>
      <c r="N10" s="218">
        <v>514209</v>
      </c>
      <c r="O10" s="216">
        <v>99945</v>
      </c>
      <c r="P10" s="216">
        <v>97813</v>
      </c>
      <c r="Q10" s="216">
        <v>108327</v>
      </c>
      <c r="R10" s="216">
        <v>91606</v>
      </c>
      <c r="S10" s="216">
        <v>89433</v>
      </c>
      <c r="T10" s="216">
        <v>337170.13</v>
      </c>
      <c r="U10" s="216">
        <v>311795</v>
      </c>
      <c r="V10" s="216">
        <v>367150.84</v>
      </c>
      <c r="W10" s="216">
        <v>332768</v>
      </c>
      <c r="X10" s="216">
        <v>318548</v>
      </c>
      <c r="Y10" s="217">
        <v>5829</v>
      </c>
      <c r="Z10" s="217">
        <v>5717</v>
      </c>
      <c r="AA10" s="217">
        <v>5440</v>
      </c>
      <c r="AB10" s="217">
        <v>4867</v>
      </c>
      <c r="AC10" s="217">
        <v>4979</v>
      </c>
      <c r="AD10" s="217">
        <v>148869</v>
      </c>
      <c r="AE10" s="217">
        <v>147464</v>
      </c>
      <c r="AF10" s="217">
        <v>148658.32999999999</v>
      </c>
      <c r="AG10" s="217">
        <f>70851+275447</f>
        <v>346298</v>
      </c>
      <c r="AH10" s="217">
        <f>73841+236065</f>
        <v>309906</v>
      </c>
    </row>
    <row r="11" spans="1:34" ht="15.05" customHeight="1" x14ac:dyDescent="0.3">
      <c r="A11" s="213">
        <v>4</v>
      </c>
      <c r="B11" s="214" t="s">
        <v>617</v>
      </c>
      <c r="C11" s="215">
        <v>51</v>
      </c>
      <c r="D11" s="205">
        <v>38</v>
      </c>
      <c r="E11" s="218">
        <f>365.276+865.166</f>
        <v>1230.442</v>
      </c>
      <c r="F11" s="218">
        <v>1312</v>
      </c>
      <c r="G11" s="218">
        <f>1098.514+274.065</f>
        <v>1372.579</v>
      </c>
      <c r="H11" s="218">
        <v>1431.3629999999998</v>
      </c>
      <c r="I11" s="218">
        <v>1345.49</v>
      </c>
      <c r="J11" s="218">
        <v>1985554</v>
      </c>
      <c r="K11" s="218">
        <v>2213305</v>
      </c>
      <c r="L11" s="218">
        <v>2083070.72</v>
      </c>
      <c r="M11" s="218">
        <f>1916964</f>
        <v>1916964</v>
      </c>
      <c r="N11" s="218">
        <v>1579868</v>
      </c>
      <c r="O11" s="216">
        <v>287061</v>
      </c>
      <c r="P11" s="216">
        <v>281606</v>
      </c>
      <c r="Q11" s="216">
        <v>305466</v>
      </c>
      <c r="R11" s="216">
        <v>281116</v>
      </c>
      <c r="S11" s="216">
        <v>280978</v>
      </c>
      <c r="T11" s="216">
        <v>684448.28</v>
      </c>
      <c r="U11" s="216">
        <v>647696</v>
      </c>
      <c r="V11" s="216">
        <v>823325.59</v>
      </c>
      <c r="W11" s="216">
        <v>772083</v>
      </c>
      <c r="X11" s="216">
        <v>748959</v>
      </c>
      <c r="Y11" s="217">
        <v>13568</v>
      </c>
      <c r="Z11" s="217">
        <v>14325</v>
      </c>
      <c r="AA11" s="217">
        <v>14840</v>
      </c>
      <c r="AB11" s="217">
        <v>14695</v>
      </c>
      <c r="AC11" s="217">
        <v>14716</v>
      </c>
      <c r="AD11" s="217">
        <v>351813</v>
      </c>
      <c r="AE11" s="217">
        <v>366402</v>
      </c>
      <c r="AF11" s="217">
        <v>402992.53</v>
      </c>
      <c r="AG11" s="217">
        <f>201892+573405</f>
        <v>775297</v>
      </c>
      <c r="AH11" s="217">
        <f>677632+229015</f>
        <v>906647</v>
      </c>
    </row>
    <row r="12" spans="1:34" ht="15.05" customHeight="1" x14ac:dyDescent="0.3">
      <c r="A12" s="213">
        <v>5</v>
      </c>
      <c r="B12" s="214" t="s">
        <v>840</v>
      </c>
      <c r="C12" s="215">
        <v>8</v>
      </c>
      <c r="D12" s="205" t="s">
        <v>841</v>
      </c>
      <c r="E12" s="218">
        <f>561.359+828.747</f>
        <v>1390.106</v>
      </c>
      <c r="F12" s="218">
        <v>1424</v>
      </c>
      <c r="G12" s="218">
        <v>1378.3580000000002</v>
      </c>
      <c r="H12" s="218">
        <v>1392.556</v>
      </c>
      <c r="I12" s="218">
        <v>1164.5509999999999</v>
      </c>
      <c r="J12" s="218">
        <v>2202028</v>
      </c>
      <c r="K12" s="218">
        <v>2257800</v>
      </c>
      <c r="L12" s="218">
        <v>2047479.66</v>
      </c>
      <c r="M12" s="218">
        <v>1557483</v>
      </c>
      <c r="N12" s="218">
        <v>1199462</v>
      </c>
      <c r="O12" s="216">
        <v>298070</v>
      </c>
      <c r="P12" s="216">
        <v>290840</v>
      </c>
      <c r="Q12" s="216">
        <v>283600</v>
      </c>
      <c r="R12" s="216">
        <v>300570</v>
      </c>
      <c r="S12" s="216">
        <v>261866</v>
      </c>
      <c r="T12" s="216">
        <v>1049226.3600000001</v>
      </c>
      <c r="U12" s="216">
        <v>858116</v>
      </c>
      <c r="V12" s="216">
        <v>1038005.75</v>
      </c>
      <c r="W12" s="216">
        <v>1047385</v>
      </c>
      <c r="X12" s="216">
        <v>1038267</v>
      </c>
      <c r="Y12" s="217">
        <v>16235</v>
      </c>
      <c r="Z12" s="217">
        <v>15986</v>
      </c>
      <c r="AA12" s="217">
        <v>16247</v>
      </c>
      <c r="AB12" s="217">
        <v>15966</v>
      </c>
      <c r="AC12" s="217">
        <v>16798</v>
      </c>
      <c r="AD12" s="217">
        <v>389256</v>
      </c>
      <c r="AE12" s="217">
        <v>368172</v>
      </c>
      <c r="AF12" s="217">
        <v>446427.53</v>
      </c>
      <c r="AG12" s="217">
        <f>209864+790849</f>
        <v>1000713</v>
      </c>
      <c r="AH12" s="217">
        <f>215001+783462</f>
        <v>998463</v>
      </c>
    </row>
    <row r="13" spans="1:34" ht="15.05" customHeight="1" x14ac:dyDescent="0.3">
      <c r="A13" s="213">
        <v>6</v>
      </c>
      <c r="B13" s="214" t="s">
        <v>842</v>
      </c>
      <c r="C13" s="215">
        <v>19</v>
      </c>
      <c r="D13" s="205">
        <v>59</v>
      </c>
      <c r="E13" s="218">
        <f>388.695+508.309</f>
        <v>897.00400000000002</v>
      </c>
      <c r="F13" s="218">
        <v>974</v>
      </c>
      <c r="G13" s="218">
        <v>976.3</v>
      </c>
      <c r="H13" s="218">
        <v>889.54099999999994</v>
      </c>
      <c r="I13" s="218">
        <v>871.01</v>
      </c>
      <c r="J13" s="218">
        <v>1373851</v>
      </c>
      <c r="K13" s="218">
        <v>1436806</v>
      </c>
      <c r="L13" s="218">
        <v>1462481.9199999999</v>
      </c>
      <c r="M13" s="218">
        <v>912393</v>
      </c>
      <c r="N13" s="218">
        <v>881821</v>
      </c>
      <c r="O13" s="216">
        <v>193280</v>
      </c>
      <c r="P13" s="216">
        <v>180980</v>
      </c>
      <c r="Q13" s="216">
        <v>181360</v>
      </c>
      <c r="R13" s="216">
        <v>165360</v>
      </c>
      <c r="S13" s="216">
        <v>164200</v>
      </c>
      <c r="T13" s="216">
        <v>666150.61</v>
      </c>
      <c r="U13" s="216">
        <v>562420</v>
      </c>
      <c r="V13" s="216">
        <v>671888.97</v>
      </c>
      <c r="W13" s="216">
        <v>622419</v>
      </c>
      <c r="X13" s="216">
        <v>631151</v>
      </c>
      <c r="Y13" s="217">
        <v>13113</v>
      </c>
      <c r="Z13" s="217">
        <v>13039</v>
      </c>
      <c r="AA13" s="217">
        <v>13371</v>
      </c>
      <c r="AB13" s="217">
        <v>12919</v>
      </c>
      <c r="AC13" s="217">
        <v>12436</v>
      </c>
      <c r="AD13" s="217">
        <v>282692</v>
      </c>
      <c r="AE13" s="217">
        <v>279047</v>
      </c>
      <c r="AF13" s="217">
        <v>270818.71000000002</v>
      </c>
      <c r="AG13" s="217">
        <f>167471+586458</f>
        <v>753929</v>
      </c>
      <c r="AH13" s="217">
        <f>639156.79+169499</f>
        <v>808655.79</v>
      </c>
    </row>
    <row r="14" spans="1:34" ht="15.05" customHeight="1" x14ac:dyDescent="0.3">
      <c r="A14" s="213">
        <v>7</v>
      </c>
      <c r="B14" s="214" t="s">
        <v>843</v>
      </c>
      <c r="C14" s="215">
        <v>87</v>
      </c>
      <c r="D14" s="205" t="s">
        <v>844</v>
      </c>
      <c r="E14" s="218">
        <f>352.418+533.69</f>
        <v>886.10800000000006</v>
      </c>
      <c r="F14" s="218">
        <v>965</v>
      </c>
      <c r="G14" s="218">
        <v>892.14100000000008</v>
      </c>
      <c r="H14" s="218">
        <v>849.53099999999995</v>
      </c>
      <c r="I14" s="218">
        <v>841.41999999999985</v>
      </c>
      <c r="J14" s="218">
        <v>1343756</v>
      </c>
      <c r="K14" s="218">
        <v>1273622</v>
      </c>
      <c r="L14" s="218">
        <v>1288409.99</v>
      </c>
      <c r="M14" s="218">
        <v>874100</v>
      </c>
      <c r="N14" s="218">
        <v>894858</v>
      </c>
      <c r="O14" s="216">
        <v>171662</v>
      </c>
      <c r="P14" s="216">
        <v>172960</v>
      </c>
      <c r="Q14" s="216">
        <v>168198</v>
      </c>
      <c r="R14" s="216">
        <v>162425</v>
      </c>
      <c r="S14" s="216">
        <v>149520</v>
      </c>
      <c r="T14" s="216">
        <v>549171.69999999995</v>
      </c>
      <c r="U14" s="216">
        <v>512004</v>
      </c>
      <c r="V14" s="216">
        <v>590950.53</v>
      </c>
      <c r="W14" s="216">
        <v>561982</v>
      </c>
      <c r="X14" s="216">
        <v>597126</v>
      </c>
      <c r="Y14" s="217">
        <v>11748</v>
      </c>
      <c r="Z14" s="217">
        <v>11851</v>
      </c>
      <c r="AA14" s="217">
        <v>11514</v>
      </c>
      <c r="AB14" s="217">
        <v>11576</v>
      </c>
      <c r="AC14" s="217">
        <v>11932</v>
      </c>
      <c r="AD14" s="217">
        <v>251991</v>
      </c>
      <c r="AE14" s="217">
        <v>275909</v>
      </c>
      <c r="AF14" s="217">
        <v>257768.68</v>
      </c>
      <c r="AG14" s="217">
        <f>153487+504526</f>
        <v>658013</v>
      </c>
      <c r="AH14" s="217">
        <f>161076+478655</f>
        <v>639731</v>
      </c>
    </row>
    <row r="15" spans="1:34" ht="15.05" customHeight="1" x14ac:dyDescent="0.3">
      <c r="A15" s="213">
        <v>8</v>
      </c>
      <c r="B15" s="214" t="s">
        <v>845</v>
      </c>
      <c r="C15" s="215" t="s">
        <v>846</v>
      </c>
      <c r="D15" s="205">
        <v>14</v>
      </c>
      <c r="E15" s="218">
        <f>288.571+701.321</f>
        <v>989.89200000000005</v>
      </c>
      <c r="F15" s="218">
        <v>1087</v>
      </c>
      <c r="G15" s="218">
        <v>1025.8510000000001</v>
      </c>
      <c r="H15" s="218">
        <v>1055.4110000000001</v>
      </c>
      <c r="I15" s="218">
        <v>972.24099999999999</v>
      </c>
      <c r="J15" s="218">
        <v>1524045</v>
      </c>
      <c r="K15" s="218">
        <v>1578966</v>
      </c>
      <c r="L15" s="218">
        <v>1612880.67</v>
      </c>
      <c r="M15" s="218">
        <v>1302042</v>
      </c>
      <c r="N15" s="218">
        <v>1175250</v>
      </c>
      <c r="O15" s="216">
        <v>178920</v>
      </c>
      <c r="P15" s="216">
        <v>171680</v>
      </c>
      <c r="Q15" s="216">
        <v>168560</v>
      </c>
      <c r="R15" s="216">
        <v>160600</v>
      </c>
      <c r="S15" s="216">
        <v>163680</v>
      </c>
      <c r="T15" s="216">
        <v>598386.55000000005</v>
      </c>
      <c r="U15" s="216">
        <v>560643</v>
      </c>
      <c r="V15" s="216">
        <v>619402.43000000005</v>
      </c>
      <c r="W15" s="216">
        <v>596884</v>
      </c>
      <c r="X15" s="216">
        <v>628984</v>
      </c>
      <c r="Y15" s="217">
        <v>8797</v>
      </c>
      <c r="Z15" s="217">
        <v>8463</v>
      </c>
      <c r="AA15" s="217">
        <v>9567</v>
      </c>
      <c r="AB15" s="217">
        <v>10242</v>
      </c>
      <c r="AC15" s="217">
        <v>10118</v>
      </c>
      <c r="AD15" s="217">
        <v>222575</v>
      </c>
      <c r="AE15" s="217">
        <v>245986</v>
      </c>
      <c r="AF15" s="217">
        <v>229855.02</v>
      </c>
      <c r="AG15" s="217">
        <f>177839+528076</f>
        <v>705915</v>
      </c>
      <c r="AH15" s="217">
        <f>166755+559543</f>
        <v>726298</v>
      </c>
    </row>
    <row r="16" spans="1:34" ht="15.05" customHeight="1" x14ac:dyDescent="0.3">
      <c r="A16" s="213">
        <v>9</v>
      </c>
      <c r="B16" s="214" t="s">
        <v>847</v>
      </c>
      <c r="C16" s="215">
        <v>67</v>
      </c>
      <c r="D16" s="205" t="s">
        <v>848</v>
      </c>
      <c r="E16" s="218">
        <f>457.222+980.984</f>
        <v>1438.2060000000001</v>
      </c>
      <c r="F16" s="218">
        <v>1448</v>
      </c>
      <c r="G16" s="218">
        <v>1532.0400000000002</v>
      </c>
      <c r="H16" s="218">
        <v>1455.741</v>
      </c>
      <c r="I16" s="218">
        <v>1426.2109999999998</v>
      </c>
      <c r="J16" s="218">
        <v>2222277</v>
      </c>
      <c r="K16" s="218">
        <v>2472040</v>
      </c>
      <c r="L16" s="218">
        <v>2302408.4300000002</v>
      </c>
      <c r="M16" s="218">
        <v>1667923</v>
      </c>
      <c r="N16" s="218">
        <v>1571072</v>
      </c>
      <c r="O16" s="216">
        <v>300920</v>
      </c>
      <c r="P16" s="216">
        <v>340940</v>
      </c>
      <c r="Q16" s="216">
        <v>354980</v>
      </c>
      <c r="R16" s="216">
        <v>343800</v>
      </c>
      <c r="S16" s="216">
        <v>359300</v>
      </c>
      <c r="T16" s="216">
        <v>723389.66</v>
      </c>
      <c r="U16" s="216">
        <v>770959</v>
      </c>
      <c r="V16" s="216">
        <v>845974.85</v>
      </c>
      <c r="W16" s="216">
        <v>863344</v>
      </c>
      <c r="X16" s="216">
        <v>857970</v>
      </c>
      <c r="Y16" s="217">
        <v>13794</v>
      </c>
      <c r="Z16" s="217">
        <v>14776</v>
      </c>
      <c r="AA16" s="217">
        <v>16623</v>
      </c>
      <c r="AB16" s="217">
        <v>16164</v>
      </c>
      <c r="AC16" s="217">
        <v>16873</v>
      </c>
      <c r="AD16" s="217">
        <v>332315</v>
      </c>
      <c r="AE16" s="217">
        <v>369038</v>
      </c>
      <c r="AF16" s="217">
        <v>365485.66</v>
      </c>
      <c r="AG16" s="217">
        <f>613011+289159</f>
        <v>902170</v>
      </c>
      <c r="AH16" s="217">
        <f>643969+277237</f>
        <v>921206</v>
      </c>
    </row>
    <row r="17" spans="1:34" ht="15.05" customHeight="1" x14ac:dyDescent="0.3">
      <c r="A17" s="213">
        <v>10</v>
      </c>
      <c r="B17" s="214" t="s">
        <v>843</v>
      </c>
      <c r="C17" s="215" t="s">
        <v>849</v>
      </c>
      <c r="D17" s="205" t="s">
        <v>850</v>
      </c>
      <c r="E17" s="218">
        <f>181.706+340.927</f>
        <v>522.63300000000004</v>
      </c>
      <c r="F17" s="218">
        <v>557</v>
      </c>
      <c r="G17" s="218">
        <v>568.40449999999987</v>
      </c>
      <c r="H17" s="218">
        <v>551.72</v>
      </c>
      <c r="I17" s="218">
        <v>528.30000000000007</v>
      </c>
      <c r="J17" s="218">
        <v>788522</v>
      </c>
      <c r="K17" s="218">
        <v>779446</v>
      </c>
      <c r="L17" s="218">
        <v>877758.51</v>
      </c>
      <c r="M17" s="218">
        <v>641385</v>
      </c>
      <c r="N17" s="218">
        <v>638977</v>
      </c>
      <c r="O17" s="216">
        <v>108320</v>
      </c>
      <c r="P17" s="216">
        <v>114520</v>
      </c>
      <c r="Q17" s="216">
        <v>111940</v>
      </c>
      <c r="R17" s="216">
        <v>109860</v>
      </c>
      <c r="S17" s="216">
        <v>105240</v>
      </c>
      <c r="T17" s="216">
        <v>247069.14</v>
      </c>
      <c r="U17" s="216">
        <v>250085</v>
      </c>
      <c r="V17" s="216">
        <v>282986.77</v>
      </c>
      <c r="W17" s="216">
        <v>285052</v>
      </c>
      <c r="X17" s="216">
        <v>264161</v>
      </c>
      <c r="Y17" s="217">
        <v>6168</v>
      </c>
      <c r="Z17" s="217">
        <v>6659</v>
      </c>
      <c r="AA17" s="217">
        <v>6728</v>
      </c>
      <c r="AB17" s="217">
        <v>6841</v>
      </c>
      <c r="AC17" s="217">
        <v>5995</v>
      </c>
      <c r="AD17" s="217">
        <v>143462</v>
      </c>
      <c r="AE17" s="217">
        <v>146063</v>
      </c>
      <c r="AF17" s="217">
        <v>136096.31</v>
      </c>
      <c r="AG17" s="217">
        <f>86987+273014</f>
        <v>360001</v>
      </c>
      <c r="AH17" s="217">
        <f>102231+217876</f>
        <v>320107</v>
      </c>
    </row>
    <row r="18" spans="1:34" ht="15.05" customHeight="1" x14ac:dyDescent="0.3">
      <c r="A18" s="213">
        <v>11</v>
      </c>
      <c r="B18" s="214" t="s">
        <v>840</v>
      </c>
      <c r="C18" s="215">
        <v>10</v>
      </c>
      <c r="D18" s="205" t="s">
        <v>851</v>
      </c>
      <c r="E18" s="218">
        <f>530.87+789.823</f>
        <v>1320.693</v>
      </c>
      <c r="F18" s="218">
        <v>1256</v>
      </c>
      <c r="G18" s="218">
        <v>1295.67</v>
      </c>
      <c r="H18" s="218">
        <v>1303.8019999999999</v>
      </c>
      <c r="I18" s="218">
        <v>1294.9399999999998</v>
      </c>
      <c r="J18" s="218">
        <v>2037056</v>
      </c>
      <c r="K18" s="218">
        <v>1873540</v>
      </c>
      <c r="L18" s="218">
        <v>1987791.44</v>
      </c>
      <c r="M18" s="218">
        <v>1521193</v>
      </c>
      <c r="N18" s="218">
        <v>1462473</v>
      </c>
      <c r="O18" s="216">
        <v>312640</v>
      </c>
      <c r="P18" s="216">
        <v>335040</v>
      </c>
      <c r="Q18" s="216">
        <v>365060</v>
      </c>
      <c r="R18" s="216">
        <v>362580</v>
      </c>
      <c r="S18" s="216">
        <v>350080</v>
      </c>
      <c r="T18" s="216">
        <v>721251.83</v>
      </c>
      <c r="U18" s="216">
        <v>791439</v>
      </c>
      <c r="V18" s="216">
        <v>963079.92</v>
      </c>
      <c r="W18" s="216">
        <v>925847</v>
      </c>
      <c r="X18" s="216">
        <v>921234</v>
      </c>
      <c r="Y18" s="217">
        <v>15414</v>
      </c>
      <c r="Z18" s="217">
        <v>15509</v>
      </c>
      <c r="AA18" s="217">
        <v>14777</v>
      </c>
      <c r="AB18" s="217">
        <v>15572</v>
      </c>
      <c r="AC18" s="217">
        <v>16151</v>
      </c>
      <c r="AD18" s="217">
        <v>364592</v>
      </c>
      <c r="AE18" s="217">
        <v>389355</v>
      </c>
      <c r="AF18" s="217">
        <v>349448.36</v>
      </c>
      <c r="AG18" s="217">
        <f>220335+711796</f>
        <v>932131</v>
      </c>
      <c r="AH18" s="217">
        <f>311414+682182</f>
        <v>993596</v>
      </c>
    </row>
    <row r="19" spans="1:34" ht="15.05" customHeight="1" x14ac:dyDescent="0.3">
      <c r="A19" s="213">
        <v>12</v>
      </c>
      <c r="B19" s="214" t="s">
        <v>852</v>
      </c>
      <c r="C19" s="215">
        <v>76</v>
      </c>
      <c r="D19" s="205" t="s">
        <v>846</v>
      </c>
      <c r="E19" s="218">
        <f>366.637+907.062</f>
        <v>1273.6990000000001</v>
      </c>
      <c r="F19" s="218">
        <v>1347</v>
      </c>
      <c r="G19" s="218">
        <v>1420.6759999999999</v>
      </c>
      <c r="H19" s="218">
        <v>1320.12</v>
      </c>
      <c r="I19" s="218">
        <v>1285.0710000000001</v>
      </c>
      <c r="J19" s="218">
        <v>1997696</v>
      </c>
      <c r="K19" s="218">
        <v>2154219</v>
      </c>
      <c r="L19" s="218">
        <v>2089479.94</v>
      </c>
      <c r="M19" s="218">
        <v>1580946</v>
      </c>
      <c r="N19" s="218">
        <v>1485969</v>
      </c>
      <c r="O19" s="216">
        <v>249230</v>
      </c>
      <c r="P19" s="216">
        <v>278640</v>
      </c>
      <c r="Q19" s="216">
        <v>314540</v>
      </c>
      <c r="R19" s="216">
        <v>323360</v>
      </c>
      <c r="S19" s="216">
        <v>321550</v>
      </c>
      <c r="T19" s="216">
        <v>544263.98</v>
      </c>
      <c r="U19" s="216">
        <v>622574</v>
      </c>
      <c r="V19" s="216">
        <v>774708.13</v>
      </c>
      <c r="W19" s="216">
        <v>811382</v>
      </c>
      <c r="X19" s="216">
        <v>834580</v>
      </c>
      <c r="Y19" s="217">
        <v>10127</v>
      </c>
      <c r="Z19" s="217">
        <v>12341</v>
      </c>
      <c r="AA19" s="217">
        <v>13375</v>
      </c>
      <c r="AB19" s="217">
        <v>14240</v>
      </c>
      <c r="AC19" s="217">
        <v>14716</v>
      </c>
      <c r="AD19" s="217">
        <v>262595</v>
      </c>
      <c r="AE19" s="217">
        <v>314078</v>
      </c>
      <c r="AF19" s="217">
        <v>299656.59000000003</v>
      </c>
      <c r="AG19" s="217">
        <f>440441+192915</f>
        <v>633356</v>
      </c>
      <c r="AH19" s="217">
        <f>438043+229287</f>
        <v>667330</v>
      </c>
    </row>
    <row r="20" spans="1:34" ht="15.05" customHeight="1" x14ac:dyDescent="0.3">
      <c r="A20" s="213">
        <v>13</v>
      </c>
      <c r="B20" s="214" t="s">
        <v>852</v>
      </c>
      <c r="C20" s="215" t="s">
        <v>853</v>
      </c>
      <c r="D20" s="205" t="s">
        <v>854</v>
      </c>
      <c r="E20" s="218">
        <f>347.795+935.817</f>
        <v>1283.6120000000001</v>
      </c>
      <c r="F20" s="218">
        <f>944.148+397.401</f>
        <v>1341.549</v>
      </c>
      <c r="G20" s="218">
        <v>1312.095</v>
      </c>
      <c r="H20" s="218">
        <v>1298.5500000000002</v>
      </c>
      <c r="I20" s="218">
        <v>1383.181</v>
      </c>
      <c r="J20" s="218">
        <v>1971513</v>
      </c>
      <c r="K20" s="218">
        <v>2066126</v>
      </c>
      <c r="L20" s="218">
        <v>1981038.28</v>
      </c>
      <c r="M20" s="218">
        <v>1473424</v>
      </c>
      <c r="N20" s="218">
        <v>1477013</v>
      </c>
      <c r="O20" s="216">
        <v>175760</v>
      </c>
      <c r="P20" s="216">
        <v>246480</v>
      </c>
      <c r="Q20" s="216">
        <v>353500</v>
      </c>
      <c r="R20" s="216">
        <v>320920</v>
      </c>
      <c r="S20" s="216">
        <v>316320</v>
      </c>
      <c r="T20" s="216">
        <v>405397.14</v>
      </c>
      <c r="U20" s="216">
        <v>554881</v>
      </c>
      <c r="V20" s="216">
        <v>918678.68</v>
      </c>
      <c r="W20" s="216">
        <v>810450</v>
      </c>
      <c r="X20" s="216">
        <v>819431</v>
      </c>
      <c r="Y20" s="217">
        <v>8560</v>
      </c>
      <c r="Z20" s="217">
        <v>11266</v>
      </c>
      <c r="AA20" s="217">
        <v>13953</v>
      </c>
      <c r="AB20" s="217">
        <v>14387</v>
      </c>
      <c r="AC20" s="217">
        <v>16092</v>
      </c>
      <c r="AD20" s="217">
        <v>201505</v>
      </c>
      <c r="AE20" s="217">
        <v>293843</v>
      </c>
      <c r="AF20" s="217">
        <v>307091.78000000003</v>
      </c>
      <c r="AG20" s="217">
        <f>667143+186088</f>
        <v>853231</v>
      </c>
      <c r="AH20" s="217">
        <f>749705+220797</f>
        <v>970502</v>
      </c>
    </row>
    <row r="21" spans="1:34" ht="15.05" customHeight="1" x14ac:dyDescent="0.3">
      <c r="A21" s="213">
        <v>14</v>
      </c>
      <c r="B21" s="214" t="s">
        <v>310</v>
      </c>
      <c r="C21" s="215" t="s">
        <v>311</v>
      </c>
      <c r="D21" s="205">
        <v>53</v>
      </c>
      <c r="E21" s="218">
        <v>1284</v>
      </c>
      <c r="F21" s="218">
        <v>1208</v>
      </c>
      <c r="G21" s="218">
        <v>1283.4409999999998</v>
      </c>
      <c r="H21" s="218">
        <v>1262.5909999999999</v>
      </c>
      <c r="I21" s="218">
        <v>1257.511</v>
      </c>
      <c r="J21" s="218">
        <v>1995743</v>
      </c>
      <c r="K21" s="218">
        <v>1769806</v>
      </c>
      <c r="L21" s="218">
        <v>1846955.77</v>
      </c>
      <c r="M21" s="218">
        <v>1296744</v>
      </c>
      <c r="N21" s="218">
        <v>1275133</v>
      </c>
      <c r="O21" s="216">
        <v>328070</v>
      </c>
      <c r="P21" s="216">
        <v>395540</v>
      </c>
      <c r="Q21" s="216">
        <v>401860</v>
      </c>
      <c r="R21" s="216">
        <v>412060</v>
      </c>
      <c r="S21" s="216">
        <v>427870</v>
      </c>
      <c r="T21" s="216">
        <v>744429.07</v>
      </c>
      <c r="U21" s="216">
        <v>769214</v>
      </c>
      <c r="V21" s="216">
        <v>909381.47</v>
      </c>
      <c r="W21" s="216">
        <v>934977</v>
      </c>
      <c r="X21" s="216">
        <v>1040215</v>
      </c>
      <c r="Y21" s="217">
        <v>15018</v>
      </c>
      <c r="Z21" s="217">
        <v>16822</v>
      </c>
      <c r="AA21" s="217">
        <v>17253</v>
      </c>
      <c r="AB21" s="217">
        <v>14764</v>
      </c>
      <c r="AC21" s="217">
        <v>15784</v>
      </c>
      <c r="AD21" s="217">
        <v>367592</v>
      </c>
      <c r="AE21" s="217">
        <v>416508</v>
      </c>
      <c r="AF21" s="217">
        <v>372785.56</v>
      </c>
      <c r="AG21" s="217">
        <f>239176+853428</f>
        <v>1092604</v>
      </c>
      <c r="AH21" s="217">
        <f>870764+256328</f>
        <v>1127092</v>
      </c>
    </row>
    <row r="22" spans="1:34" ht="15.05" customHeight="1" x14ac:dyDescent="0.3">
      <c r="A22" s="213">
        <v>15</v>
      </c>
      <c r="B22" s="214" t="s">
        <v>320</v>
      </c>
      <c r="C22" s="215">
        <v>28</v>
      </c>
      <c r="D22" s="205">
        <v>16</v>
      </c>
      <c r="E22" s="218">
        <v>1262</v>
      </c>
      <c r="F22" s="218">
        <v>1303</v>
      </c>
      <c r="G22" s="218">
        <v>1392.5910000000001</v>
      </c>
      <c r="H22" s="218">
        <v>1421.261</v>
      </c>
      <c r="I22" s="218">
        <v>1500.6510000000001</v>
      </c>
      <c r="J22" s="218">
        <v>1929629</v>
      </c>
      <c r="K22" s="218">
        <v>1890787</v>
      </c>
      <c r="L22" s="218">
        <v>2078964.43</v>
      </c>
      <c r="M22" s="218">
        <v>1618480</v>
      </c>
      <c r="N22" s="218">
        <v>1644370</v>
      </c>
      <c r="O22" s="216">
        <v>222650</v>
      </c>
      <c r="P22" s="216">
        <v>323220</v>
      </c>
      <c r="Q22" s="216">
        <v>350600</v>
      </c>
      <c r="R22" s="216">
        <v>345470</v>
      </c>
      <c r="S22" s="216">
        <v>352680</v>
      </c>
      <c r="T22" s="216">
        <v>416676.27</v>
      </c>
      <c r="U22" s="216">
        <v>555478</v>
      </c>
      <c r="V22" s="216">
        <v>776071.06</v>
      </c>
      <c r="W22" s="216">
        <v>747864</v>
      </c>
      <c r="X22" s="216">
        <v>821813</v>
      </c>
      <c r="Y22" s="217">
        <v>9188</v>
      </c>
      <c r="Z22" s="217">
        <v>12876</v>
      </c>
      <c r="AA22" s="217">
        <v>14556</v>
      </c>
      <c r="AB22" s="217">
        <v>15952</v>
      </c>
      <c r="AC22" s="217">
        <v>17583</v>
      </c>
      <c r="AD22" s="217">
        <v>228454</v>
      </c>
      <c r="AE22" s="217">
        <v>330928</v>
      </c>
      <c r="AF22" s="217">
        <v>348173.33</v>
      </c>
      <c r="AG22" s="217">
        <f>225885+537598</f>
        <v>763483</v>
      </c>
      <c r="AH22" s="217">
        <f>262557+622278</f>
        <v>884835</v>
      </c>
    </row>
    <row r="23" spans="1:34" ht="15.05" customHeight="1" x14ac:dyDescent="0.3">
      <c r="A23" s="213">
        <v>16</v>
      </c>
      <c r="B23" s="214" t="s">
        <v>320</v>
      </c>
      <c r="C23" s="215" t="s">
        <v>370</v>
      </c>
      <c r="D23" s="205" t="s">
        <v>855</v>
      </c>
      <c r="E23" s="218">
        <v>939</v>
      </c>
      <c r="F23" s="218">
        <v>1026</v>
      </c>
      <c r="G23" s="218">
        <v>1049.96</v>
      </c>
      <c r="H23" s="218">
        <v>963.44</v>
      </c>
      <c r="I23" s="218">
        <v>927.75</v>
      </c>
      <c r="J23" s="218">
        <v>1452367</v>
      </c>
      <c r="K23" s="218">
        <v>1575076</v>
      </c>
      <c r="L23" s="218">
        <v>1575841.51</v>
      </c>
      <c r="M23" s="218">
        <v>1127231</v>
      </c>
      <c r="N23" s="218">
        <v>998830</v>
      </c>
      <c r="O23" s="216">
        <v>115990</v>
      </c>
      <c r="P23" s="216">
        <v>191790</v>
      </c>
      <c r="Q23" s="216">
        <v>227300</v>
      </c>
      <c r="R23" s="216">
        <v>242420</v>
      </c>
      <c r="S23" s="216">
        <v>253500</v>
      </c>
      <c r="T23" s="216">
        <v>273764.33</v>
      </c>
      <c r="U23" s="216">
        <v>410389</v>
      </c>
      <c r="V23" s="216">
        <v>535740.25</v>
      </c>
      <c r="W23" s="216">
        <v>575315</v>
      </c>
      <c r="X23" s="216">
        <v>609209</v>
      </c>
      <c r="Y23" s="217">
        <v>4655</v>
      </c>
      <c r="Z23" s="217">
        <v>8574</v>
      </c>
      <c r="AA23" s="217">
        <v>10089</v>
      </c>
      <c r="AB23" s="217">
        <v>11190</v>
      </c>
      <c r="AC23" s="217">
        <v>11717</v>
      </c>
      <c r="AD23" s="217">
        <v>115188</v>
      </c>
      <c r="AE23" s="217">
        <v>242471</v>
      </c>
      <c r="AF23" s="217">
        <v>252167.95</v>
      </c>
      <c r="AG23" s="217">
        <f>172021+403408</f>
        <v>575429</v>
      </c>
      <c r="AH23" s="217">
        <f>182141+357047</f>
        <v>539188</v>
      </c>
    </row>
    <row r="24" spans="1:34" ht="15.05" customHeight="1" x14ac:dyDescent="0.3">
      <c r="A24" s="213">
        <v>17</v>
      </c>
      <c r="B24" s="214" t="s">
        <v>413</v>
      </c>
      <c r="C24" s="215">
        <v>18</v>
      </c>
      <c r="D24" s="205" t="s">
        <v>412</v>
      </c>
      <c r="E24" s="218">
        <v>315</v>
      </c>
      <c r="F24" s="218">
        <v>2150</v>
      </c>
      <c r="G24" s="218">
        <f>1629+853</f>
        <v>2482</v>
      </c>
      <c r="H24" s="218">
        <v>2448.2600000000002</v>
      </c>
      <c r="I24" s="218">
        <v>2382.451</v>
      </c>
      <c r="J24" s="218">
        <v>1028428</v>
      </c>
      <c r="K24" s="218">
        <v>3238303</v>
      </c>
      <c r="L24" s="218">
        <v>3701660.91</v>
      </c>
      <c r="M24" s="218">
        <v>2549606</v>
      </c>
      <c r="N24" s="218">
        <v>2462171</v>
      </c>
      <c r="O24" s="216">
        <v>33390</v>
      </c>
      <c r="P24" s="216">
        <v>422690</v>
      </c>
      <c r="Q24" s="216">
        <v>533700</v>
      </c>
      <c r="R24" s="216">
        <v>580240</v>
      </c>
      <c r="S24" s="216">
        <v>545200</v>
      </c>
      <c r="T24" s="216">
        <v>147524.75</v>
      </c>
      <c r="U24" s="216">
        <v>1055587</v>
      </c>
      <c r="V24" s="216">
        <v>1448790.09</v>
      </c>
      <c r="W24" s="216">
        <v>1531613</v>
      </c>
      <c r="X24" s="216">
        <v>1449626</v>
      </c>
      <c r="Y24" s="217">
        <v>889</v>
      </c>
      <c r="Z24" s="217">
        <v>24595</v>
      </c>
      <c r="AA24" s="217">
        <v>31944</v>
      </c>
      <c r="AB24" s="217">
        <v>34299</v>
      </c>
      <c r="AC24" s="217">
        <v>36302</v>
      </c>
      <c r="AD24" s="217">
        <v>49483</v>
      </c>
      <c r="AE24" s="217">
        <v>634976</v>
      </c>
      <c r="AF24" s="217">
        <v>709864.88</v>
      </c>
      <c r="AG24" s="217">
        <f>457716+1503798</f>
        <v>1961514</v>
      </c>
      <c r="AH24" s="217">
        <f>463354+1552028</f>
        <v>2015382</v>
      </c>
    </row>
    <row r="25" spans="1:34" ht="15.05" customHeight="1" x14ac:dyDescent="0.3">
      <c r="A25" s="213">
        <v>18</v>
      </c>
      <c r="B25" s="214" t="s">
        <v>424</v>
      </c>
      <c r="C25" s="215">
        <v>21</v>
      </c>
      <c r="D25" s="205" t="s">
        <v>421</v>
      </c>
      <c r="E25" s="218"/>
      <c r="F25" s="218">
        <v>932</v>
      </c>
      <c r="G25" s="218">
        <v>1250.5999999999999</v>
      </c>
      <c r="H25" s="218">
        <v>1086.4100000000001</v>
      </c>
      <c r="I25" s="218">
        <v>1090.472</v>
      </c>
      <c r="J25" s="218"/>
      <c r="K25" s="218">
        <v>1625328</v>
      </c>
      <c r="L25" s="218">
        <v>1806054.72</v>
      </c>
      <c r="M25" s="218">
        <v>1265877</v>
      </c>
      <c r="N25" s="218">
        <v>1220344</v>
      </c>
      <c r="O25" s="216"/>
      <c r="P25" s="216">
        <v>214000</v>
      </c>
      <c r="Q25" s="216">
        <v>257700</v>
      </c>
      <c r="R25" s="216">
        <v>280860</v>
      </c>
      <c r="S25" s="216">
        <v>307170</v>
      </c>
      <c r="T25" s="216"/>
      <c r="U25" s="216">
        <v>321592</v>
      </c>
      <c r="V25" s="216">
        <v>456241.25</v>
      </c>
      <c r="W25" s="216">
        <v>619274</v>
      </c>
      <c r="X25" s="216">
        <v>668067</v>
      </c>
      <c r="Y25" s="217"/>
      <c r="Z25" s="217">
        <v>4400</v>
      </c>
      <c r="AA25" s="217">
        <v>10080</v>
      </c>
      <c r="AB25" s="217">
        <v>11555</v>
      </c>
      <c r="AC25" s="217">
        <v>12803</v>
      </c>
      <c r="AD25" s="217"/>
      <c r="AE25" s="217">
        <v>162986</v>
      </c>
      <c r="AF25" s="217">
        <v>229722.51</v>
      </c>
      <c r="AG25" s="217">
        <f>160159+512175</f>
        <v>672334</v>
      </c>
      <c r="AH25" s="217">
        <f>182996+588416</f>
        <v>771412</v>
      </c>
    </row>
    <row r="26" spans="1:34" ht="15.05" customHeight="1" x14ac:dyDescent="0.3">
      <c r="A26" s="213">
        <v>19</v>
      </c>
      <c r="B26" s="214" t="s">
        <v>425</v>
      </c>
      <c r="C26" s="215">
        <v>11</v>
      </c>
      <c r="D26" s="205" t="s">
        <v>422</v>
      </c>
      <c r="E26" s="218"/>
      <c r="F26" s="218">
        <v>1324</v>
      </c>
      <c r="G26" s="218">
        <v>2282.3110000000001</v>
      </c>
      <c r="H26" s="218">
        <v>2362.232</v>
      </c>
      <c r="I26" s="218">
        <v>2345.5920000000001</v>
      </c>
      <c r="J26" s="218"/>
      <c r="K26" s="218">
        <v>2295895</v>
      </c>
      <c r="L26" s="218">
        <v>3399275.77</v>
      </c>
      <c r="M26" s="218">
        <v>2328102</v>
      </c>
      <c r="N26" s="218">
        <v>2298491</v>
      </c>
      <c r="O26" s="216"/>
      <c r="P26" s="216">
        <v>309220</v>
      </c>
      <c r="Q26" s="216">
        <v>680380</v>
      </c>
      <c r="R26" s="216">
        <v>696920</v>
      </c>
      <c r="S26" s="216">
        <v>702130</v>
      </c>
      <c r="T26" s="216"/>
      <c r="U26" s="216">
        <v>662480</v>
      </c>
      <c r="V26" s="216">
        <v>1623705.84</v>
      </c>
      <c r="W26" s="216">
        <v>1706204</v>
      </c>
      <c r="X26" s="216">
        <v>1758776</v>
      </c>
      <c r="Y26" s="217"/>
      <c r="Z26" s="217">
        <v>16173</v>
      </c>
      <c r="AA26" s="217">
        <v>34253</v>
      </c>
      <c r="AB26" s="217">
        <v>36449</v>
      </c>
      <c r="AC26" s="217">
        <v>37898</v>
      </c>
      <c r="AD26" s="217"/>
      <c r="AE26" s="217">
        <v>424082</v>
      </c>
      <c r="AF26" s="217">
        <v>767599.77</v>
      </c>
      <c r="AG26" s="217">
        <f>500037+1570596</f>
        <v>2070633</v>
      </c>
      <c r="AH26" s="217">
        <f>1597283+531039</f>
        <v>2128322</v>
      </c>
    </row>
    <row r="27" spans="1:34" ht="15.05" customHeight="1" x14ac:dyDescent="0.3">
      <c r="A27" s="213">
        <v>20</v>
      </c>
      <c r="B27" s="214" t="s">
        <v>447</v>
      </c>
      <c r="C27" s="215" t="s">
        <v>448</v>
      </c>
      <c r="D27" s="205" t="s">
        <v>856</v>
      </c>
      <c r="E27" s="218"/>
      <c r="F27" s="218">
        <v>504</v>
      </c>
      <c r="G27" s="218">
        <v>1312.951</v>
      </c>
      <c r="H27" s="218">
        <v>1296.231</v>
      </c>
      <c r="I27" s="218">
        <v>1251.8009999999999</v>
      </c>
      <c r="J27" s="218"/>
      <c r="K27" s="218">
        <v>1260893</v>
      </c>
      <c r="L27" s="218">
        <v>1985219.86</v>
      </c>
      <c r="M27" s="218">
        <v>1455905</v>
      </c>
      <c r="N27" s="218">
        <v>1329744</v>
      </c>
      <c r="O27" s="216"/>
      <c r="P27" s="216">
        <v>141442</v>
      </c>
      <c r="Q27" s="216">
        <v>324900</v>
      </c>
      <c r="R27" s="216">
        <v>335260</v>
      </c>
      <c r="S27" s="216">
        <v>345370</v>
      </c>
      <c r="T27" s="216"/>
      <c r="U27" s="216">
        <v>393696</v>
      </c>
      <c r="V27" s="216">
        <v>901799.09</v>
      </c>
      <c r="W27" s="216">
        <v>919257</v>
      </c>
      <c r="X27" s="216">
        <v>923186</v>
      </c>
      <c r="Y27" s="217"/>
      <c r="Z27" s="217">
        <v>7012</v>
      </c>
      <c r="AA27" s="217">
        <v>16980</v>
      </c>
      <c r="AB27" s="217">
        <v>18126</v>
      </c>
      <c r="AC27" s="217">
        <v>18439</v>
      </c>
      <c r="AD27" s="217"/>
      <c r="AE27" s="217">
        <v>214705</v>
      </c>
      <c r="AF27" s="217">
        <v>398879.58</v>
      </c>
      <c r="AG27" s="217">
        <f>698440+274175</f>
        <v>972615</v>
      </c>
      <c r="AH27" s="217">
        <f>274873+753508</f>
        <v>1028381</v>
      </c>
    </row>
    <row r="28" spans="1:34" ht="15.05" customHeight="1" x14ac:dyDescent="0.3">
      <c r="A28" s="213">
        <v>21</v>
      </c>
      <c r="B28" s="214" t="s">
        <v>447</v>
      </c>
      <c r="C28" s="215" t="s">
        <v>452</v>
      </c>
      <c r="D28" s="205" t="s">
        <v>857</v>
      </c>
      <c r="E28" s="218"/>
      <c r="F28" s="218">
        <v>428</v>
      </c>
      <c r="G28" s="218">
        <v>1236.1000000000001</v>
      </c>
      <c r="H28" s="218">
        <v>1274.8110000000001</v>
      </c>
      <c r="I28" s="218">
        <v>1266.26</v>
      </c>
      <c r="J28" s="218"/>
      <c r="K28" s="218">
        <v>663476</v>
      </c>
      <c r="L28" s="218">
        <v>1883530.99</v>
      </c>
      <c r="M28" s="218">
        <v>1303030</v>
      </c>
      <c r="N28" s="218">
        <v>1246285</v>
      </c>
      <c r="O28" s="216"/>
      <c r="P28" s="216">
        <v>93620</v>
      </c>
      <c r="Q28" s="216">
        <v>316650</v>
      </c>
      <c r="R28" s="216">
        <v>347640</v>
      </c>
      <c r="S28" s="216">
        <v>335310</v>
      </c>
      <c r="T28" s="216"/>
      <c r="U28" s="216">
        <v>238544</v>
      </c>
      <c r="V28" s="216">
        <v>850100.18</v>
      </c>
      <c r="W28" s="216">
        <v>880812</v>
      </c>
      <c r="X28" s="216">
        <v>912991</v>
      </c>
      <c r="Y28" s="217"/>
      <c r="Z28" s="217">
        <v>4993</v>
      </c>
      <c r="AA28" s="217">
        <v>17017</v>
      </c>
      <c r="AB28" s="217">
        <v>19304</v>
      </c>
      <c r="AC28" s="217">
        <v>20156</v>
      </c>
      <c r="AD28" s="217"/>
      <c r="AE28" s="217">
        <v>131635</v>
      </c>
      <c r="AF28" s="217">
        <v>403163.32</v>
      </c>
      <c r="AG28" s="217">
        <f>257851+766225</f>
        <v>1024076</v>
      </c>
      <c r="AH28" s="217">
        <f>275018+886449</f>
        <v>1161467</v>
      </c>
    </row>
    <row r="29" spans="1:34" ht="15.05" customHeight="1" x14ac:dyDescent="0.3">
      <c r="A29" s="213">
        <v>22</v>
      </c>
      <c r="B29" s="214" t="s">
        <v>447</v>
      </c>
      <c r="C29" s="215" t="s">
        <v>46</v>
      </c>
      <c r="D29" s="205" t="s">
        <v>858</v>
      </c>
      <c r="E29" s="218"/>
      <c r="F29" s="218">
        <v>313</v>
      </c>
      <c r="G29" s="218">
        <v>1300.991</v>
      </c>
      <c r="H29" s="218">
        <v>1356</v>
      </c>
      <c r="I29" s="218">
        <v>1289.44</v>
      </c>
      <c r="J29" s="218"/>
      <c r="K29" s="218">
        <v>497032</v>
      </c>
      <c r="L29" s="218">
        <v>1883894.98</v>
      </c>
      <c r="M29" s="218">
        <v>1499372</v>
      </c>
      <c r="N29" s="218">
        <v>1370958</v>
      </c>
      <c r="O29" s="216"/>
      <c r="P29" s="216">
        <v>23280</v>
      </c>
      <c r="Q29" s="216">
        <v>229160</v>
      </c>
      <c r="R29" s="216">
        <v>276070</v>
      </c>
      <c r="S29" s="216">
        <v>315370</v>
      </c>
      <c r="T29" s="216"/>
      <c r="U29" s="216">
        <v>34283</v>
      </c>
      <c r="V29" s="216">
        <v>580083.18999999994</v>
      </c>
      <c r="W29" s="216">
        <v>710240</v>
      </c>
      <c r="X29" s="216">
        <v>820797</v>
      </c>
      <c r="Y29" s="217"/>
      <c r="Z29" s="217">
        <v>685</v>
      </c>
      <c r="AA29" s="217">
        <v>12797</v>
      </c>
      <c r="AB29" s="217">
        <v>15919</v>
      </c>
      <c r="AC29" s="217">
        <v>17760</v>
      </c>
      <c r="AD29" s="217"/>
      <c r="AE29" s="217">
        <v>20000</v>
      </c>
      <c r="AF29" s="217">
        <v>266459.02</v>
      </c>
      <c r="AG29" s="217">
        <f>572670+173421</f>
        <v>746091</v>
      </c>
      <c r="AH29" s="217">
        <f>632535+201418</f>
        <v>833953</v>
      </c>
    </row>
    <row r="30" spans="1:34" ht="15.05" customHeight="1" x14ac:dyDescent="0.3">
      <c r="A30" s="213">
        <v>23</v>
      </c>
      <c r="B30" s="214" t="s">
        <v>425</v>
      </c>
      <c r="C30" s="215">
        <v>13</v>
      </c>
      <c r="D30" s="205" t="s">
        <v>601</v>
      </c>
      <c r="E30" s="218"/>
      <c r="F30" s="218"/>
      <c r="G30" s="218">
        <v>588.85</v>
      </c>
      <c r="H30" s="218">
        <v>1205.03</v>
      </c>
      <c r="I30" s="218">
        <v>1202.3319999999999</v>
      </c>
      <c r="J30" s="218"/>
      <c r="K30" s="218"/>
      <c r="L30" s="218">
        <v>1067878.04</v>
      </c>
      <c r="M30" s="218">
        <v>1332735</v>
      </c>
      <c r="N30" s="218">
        <v>1288615</v>
      </c>
      <c r="O30" s="216"/>
      <c r="P30" s="216"/>
      <c r="Q30" s="216">
        <v>168449</v>
      </c>
      <c r="R30" s="216">
        <v>358930</v>
      </c>
      <c r="S30" s="216">
        <v>376785</v>
      </c>
      <c r="T30" s="216"/>
      <c r="U30" s="216"/>
      <c r="V30" s="216">
        <v>406989.74</v>
      </c>
      <c r="W30" s="216">
        <v>728120</v>
      </c>
      <c r="X30" s="216">
        <v>785423</v>
      </c>
      <c r="Y30" s="217"/>
      <c r="Z30" s="217"/>
      <c r="AA30" s="217">
        <v>6326</v>
      </c>
      <c r="AB30" s="217">
        <v>14395</v>
      </c>
      <c r="AC30" s="217">
        <v>15918</v>
      </c>
      <c r="AD30" s="217"/>
      <c r="AE30" s="217"/>
      <c r="AF30" s="217">
        <v>184531.42</v>
      </c>
      <c r="AG30" s="217">
        <f>673366+184801</f>
        <v>858167</v>
      </c>
      <c r="AH30" s="217">
        <f>229705+749957</f>
        <v>979662</v>
      </c>
    </row>
    <row r="31" spans="1:34" ht="15.05" customHeight="1" x14ac:dyDescent="0.3">
      <c r="A31" s="213">
        <v>24</v>
      </c>
      <c r="B31" s="214" t="s">
        <v>447</v>
      </c>
      <c r="C31" s="215" t="s">
        <v>456</v>
      </c>
      <c r="D31" s="205" t="s">
        <v>859</v>
      </c>
      <c r="E31" s="218"/>
      <c r="F31" s="218"/>
      <c r="G31" s="218">
        <v>771.88999999999987</v>
      </c>
      <c r="H31" s="218">
        <v>1551.9809999999998</v>
      </c>
      <c r="I31" s="218">
        <v>1486.52</v>
      </c>
      <c r="J31" s="218"/>
      <c r="K31" s="218"/>
      <c r="L31" s="218">
        <v>1338324.71</v>
      </c>
      <c r="M31" s="218">
        <v>1717811</v>
      </c>
      <c r="N31" s="218">
        <v>1632157</v>
      </c>
      <c r="O31" s="216"/>
      <c r="P31" s="216"/>
      <c r="Q31" s="216">
        <v>176306</v>
      </c>
      <c r="R31" s="216">
        <v>302580</v>
      </c>
      <c r="S31" s="216">
        <v>321120</v>
      </c>
      <c r="T31" s="216"/>
      <c r="U31" s="216"/>
      <c r="V31" s="216">
        <v>484775.2</v>
      </c>
      <c r="W31" s="216">
        <v>786535</v>
      </c>
      <c r="X31" s="216">
        <v>826090</v>
      </c>
      <c r="Y31" s="217"/>
      <c r="Z31" s="217"/>
      <c r="AA31" s="217">
        <v>11617</v>
      </c>
      <c r="AB31" s="217">
        <v>19942</v>
      </c>
      <c r="AC31" s="217">
        <v>20808</v>
      </c>
      <c r="AD31" s="217"/>
      <c r="AE31" s="217"/>
      <c r="AF31" s="217">
        <v>264803.20000000001</v>
      </c>
      <c r="AG31" s="217">
        <f>259935+909171</f>
        <v>1169106</v>
      </c>
      <c r="AH31" s="217">
        <f>273551+925092</f>
        <v>1198643</v>
      </c>
    </row>
    <row r="32" spans="1:34" ht="15.05" customHeight="1" x14ac:dyDescent="0.3">
      <c r="A32" s="213">
        <v>25</v>
      </c>
      <c r="B32" s="214" t="s">
        <v>425</v>
      </c>
      <c r="C32" s="215">
        <v>15</v>
      </c>
      <c r="D32" s="205" t="s">
        <v>466</v>
      </c>
      <c r="E32" s="218"/>
      <c r="F32" s="218"/>
      <c r="G32" s="218">
        <v>980.96199999999999</v>
      </c>
      <c r="H32" s="218">
        <v>2436.0619999999999</v>
      </c>
      <c r="I32" s="218">
        <v>2493.5720000000001</v>
      </c>
      <c r="J32" s="218"/>
      <c r="K32" s="218"/>
      <c r="L32" s="218">
        <v>1545465.97</v>
      </c>
      <c r="M32" s="218">
        <v>2627576</v>
      </c>
      <c r="N32" s="218">
        <v>2680196</v>
      </c>
      <c r="O32" s="216"/>
      <c r="P32" s="216"/>
      <c r="Q32" s="216">
        <v>213581</v>
      </c>
      <c r="R32" s="216">
        <v>867260</v>
      </c>
      <c r="S32" s="216">
        <v>609300</v>
      </c>
      <c r="T32" s="216"/>
      <c r="U32" s="216"/>
      <c r="V32" s="216">
        <v>578579.35</v>
      </c>
      <c r="W32" s="216">
        <v>1499303</v>
      </c>
      <c r="X32" s="216">
        <v>1578578</v>
      </c>
      <c r="Y32" s="217"/>
      <c r="Z32" s="217"/>
      <c r="AA32" s="217">
        <v>14541</v>
      </c>
      <c r="AB32" s="217">
        <v>34208</v>
      </c>
      <c r="AC32" s="217">
        <v>38126</v>
      </c>
      <c r="AD32" s="217"/>
      <c r="AE32" s="217"/>
      <c r="AF32" s="217">
        <v>329182.14</v>
      </c>
      <c r="AG32" s="217">
        <f>495338+1580666</f>
        <v>2076004</v>
      </c>
      <c r="AH32" s="217">
        <f>1588108+519650</f>
        <v>2107758</v>
      </c>
    </row>
    <row r="33" spans="1:34" ht="15.05" customHeight="1" x14ac:dyDescent="0.3">
      <c r="A33" s="213">
        <v>26</v>
      </c>
      <c r="B33" s="214" t="s">
        <v>39</v>
      </c>
      <c r="C33" s="215">
        <v>48</v>
      </c>
      <c r="D33" s="205" t="s">
        <v>562</v>
      </c>
      <c r="E33" s="218"/>
      <c r="F33" s="218"/>
      <c r="G33" s="218"/>
      <c r="H33" s="218">
        <v>1161.819</v>
      </c>
      <c r="I33" s="218">
        <v>1304.2809999999999</v>
      </c>
      <c r="J33" s="218"/>
      <c r="K33" s="218"/>
      <c r="L33" s="218"/>
      <c r="M33" s="218">
        <v>1437499</v>
      </c>
      <c r="N33" s="218">
        <v>1511649</v>
      </c>
      <c r="O33" s="216"/>
      <c r="P33" s="216"/>
      <c r="Q33" s="216"/>
      <c r="R33" s="216">
        <v>225200</v>
      </c>
      <c r="S33" s="216">
        <v>298210</v>
      </c>
      <c r="T33" s="216"/>
      <c r="U33" s="216"/>
      <c r="V33" s="216"/>
      <c r="W33" s="216">
        <v>599689</v>
      </c>
      <c r="X33" s="216">
        <v>776491</v>
      </c>
      <c r="Y33" s="217"/>
      <c r="Z33" s="217"/>
      <c r="AA33" s="217"/>
      <c r="AB33" s="217">
        <v>13131</v>
      </c>
      <c r="AC33" s="217">
        <v>18603</v>
      </c>
      <c r="AD33" s="217"/>
      <c r="AE33" s="217"/>
      <c r="AF33" s="217"/>
      <c r="AG33" s="217">
        <f>193213+617949</f>
        <v>811162</v>
      </c>
      <c r="AH33" s="217">
        <f>302187+786251</f>
        <v>1088438</v>
      </c>
    </row>
    <row r="34" spans="1:34" ht="15.05" customHeight="1" x14ac:dyDescent="0.3">
      <c r="A34" s="213">
        <v>27</v>
      </c>
      <c r="B34" s="214" t="s">
        <v>424</v>
      </c>
      <c r="C34" s="215">
        <v>3</v>
      </c>
      <c r="D34" s="205" t="s">
        <v>563</v>
      </c>
      <c r="E34" s="218"/>
      <c r="F34" s="218"/>
      <c r="G34" s="218"/>
      <c r="H34" s="218">
        <v>867.24300000000005</v>
      </c>
      <c r="I34" s="218">
        <v>1296.211</v>
      </c>
      <c r="J34" s="218"/>
      <c r="K34" s="218"/>
      <c r="L34" s="218"/>
      <c r="M34" s="218">
        <v>967510</v>
      </c>
      <c r="N34" s="218">
        <v>1391934</v>
      </c>
      <c r="O34" s="216"/>
      <c r="P34" s="216"/>
      <c r="Q34" s="216"/>
      <c r="R34" s="216">
        <v>180450</v>
      </c>
      <c r="S34" s="216">
        <v>299340</v>
      </c>
      <c r="T34" s="216"/>
      <c r="U34" s="216"/>
      <c r="V34" s="216"/>
      <c r="W34" s="216">
        <v>491870</v>
      </c>
      <c r="X34" s="216">
        <v>803800</v>
      </c>
      <c r="Y34" s="217"/>
      <c r="Z34" s="217"/>
      <c r="AA34" s="217"/>
      <c r="AB34" s="217">
        <v>10128</v>
      </c>
      <c r="AC34" s="217">
        <v>17168</v>
      </c>
      <c r="AD34" s="217"/>
      <c r="AE34" s="217"/>
      <c r="AF34" s="217"/>
      <c r="AG34" s="217">
        <f>140752+542291</f>
        <v>683043</v>
      </c>
      <c r="AH34" s="217">
        <f>948292+250804</f>
        <v>1199096</v>
      </c>
    </row>
    <row r="35" spans="1:34" ht="15.05" customHeight="1" x14ac:dyDescent="0.3">
      <c r="A35" s="213">
        <v>28</v>
      </c>
      <c r="B35" s="214" t="s">
        <v>413</v>
      </c>
      <c r="C35" s="215">
        <v>14</v>
      </c>
      <c r="D35" s="205" t="s">
        <v>618</v>
      </c>
      <c r="E35" s="218"/>
      <c r="F35" s="218"/>
      <c r="G35" s="218"/>
      <c r="H35" s="218">
        <v>512.68999999999994</v>
      </c>
      <c r="I35" s="218">
        <v>1390.0399999999997</v>
      </c>
      <c r="J35" s="218"/>
      <c r="K35" s="218"/>
      <c r="L35" s="218"/>
      <c r="M35" s="218">
        <v>628708</v>
      </c>
      <c r="N35" s="218">
        <v>1551081</v>
      </c>
      <c r="O35" s="216"/>
      <c r="P35" s="216"/>
      <c r="Q35" s="216"/>
      <c r="R35" s="216">
        <v>85270</v>
      </c>
      <c r="S35" s="216">
        <v>324990</v>
      </c>
      <c r="T35" s="216"/>
      <c r="U35" s="216"/>
      <c r="V35" s="216"/>
      <c r="W35" s="216">
        <v>263397</v>
      </c>
      <c r="X35" s="216">
        <v>794619</v>
      </c>
      <c r="Y35" s="217"/>
      <c r="Z35" s="217"/>
      <c r="AA35" s="217"/>
      <c r="AB35" s="217">
        <v>4659</v>
      </c>
      <c r="AC35" s="217">
        <v>17464</v>
      </c>
      <c r="AD35" s="217"/>
      <c r="AE35" s="217"/>
      <c r="AF35" s="217"/>
      <c r="AG35" s="217">
        <f>71876+254454</f>
        <v>326330</v>
      </c>
      <c r="AH35" s="217">
        <f>246899+877027</f>
        <v>1123926</v>
      </c>
    </row>
    <row r="36" spans="1:34" ht="15.05" customHeight="1" x14ac:dyDescent="0.3">
      <c r="A36" s="213">
        <v>29</v>
      </c>
      <c r="B36" s="214" t="s">
        <v>640</v>
      </c>
      <c r="C36" s="215">
        <v>32</v>
      </c>
      <c r="D36" s="205" t="s">
        <v>638</v>
      </c>
      <c r="E36" s="218"/>
      <c r="F36" s="218"/>
      <c r="G36" s="218"/>
      <c r="H36" s="218">
        <v>477.72700000000003</v>
      </c>
      <c r="I36" s="218">
        <v>3468.1950000000002</v>
      </c>
      <c r="J36" s="218"/>
      <c r="K36" s="218"/>
      <c r="L36" s="218"/>
      <c r="M36" s="218">
        <v>761215</v>
      </c>
      <c r="N36" s="218">
        <v>4555200</v>
      </c>
      <c r="O36" s="216"/>
      <c r="P36" s="216"/>
      <c r="Q36" s="216"/>
      <c r="R36" s="216">
        <v>11330</v>
      </c>
      <c r="S36" s="216">
        <v>556771</v>
      </c>
      <c r="T36" s="216"/>
      <c r="U36" s="216"/>
      <c r="V36" s="216"/>
      <c r="W36" s="216">
        <v>39239</v>
      </c>
      <c r="X36" s="216">
        <v>1327630</v>
      </c>
      <c r="Y36" s="217"/>
      <c r="Z36" s="217"/>
      <c r="AA36" s="217"/>
      <c r="AB36" s="217">
        <v>578</v>
      </c>
      <c r="AC36" s="217">
        <v>21039</v>
      </c>
      <c r="AD36" s="217"/>
      <c r="AE36" s="217"/>
      <c r="AF36" s="217"/>
      <c r="AG36" s="217">
        <f>66376+11056</f>
        <v>77432</v>
      </c>
      <c r="AH36" s="217">
        <f>365963+1539162</f>
        <v>1905125</v>
      </c>
    </row>
    <row r="37" spans="1:34" ht="15.05" customHeight="1" x14ac:dyDescent="0.3">
      <c r="A37" s="213">
        <v>30</v>
      </c>
      <c r="B37" s="214" t="s">
        <v>447</v>
      </c>
      <c r="C37" s="215" t="s">
        <v>35</v>
      </c>
      <c r="D37" s="205" t="s">
        <v>660</v>
      </c>
      <c r="E37" s="218"/>
      <c r="F37" s="218"/>
      <c r="G37" s="218"/>
      <c r="H37" s="218">
        <v>88.245999999999995</v>
      </c>
      <c r="I37" s="218">
        <v>1165.82</v>
      </c>
      <c r="J37" s="218"/>
      <c r="K37" s="218"/>
      <c r="L37" s="218"/>
      <c r="M37" s="218">
        <v>139043</v>
      </c>
      <c r="N37" s="218">
        <v>1379741</v>
      </c>
      <c r="O37" s="216"/>
      <c r="P37" s="216"/>
      <c r="Q37" s="216"/>
      <c r="R37" s="216">
        <v>5100</v>
      </c>
      <c r="S37" s="216">
        <v>181080</v>
      </c>
      <c r="T37" s="216"/>
      <c r="U37" s="216"/>
      <c r="V37" s="216"/>
      <c r="W37" s="216">
        <v>11349</v>
      </c>
      <c r="X37" s="216">
        <v>490727</v>
      </c>
      <c r="Y37" s="217"/>
      <c r="Z37" s="217"/>
      <c r="AA37" s="217"/>
      <c r="AB37" s="217">
        <v>122</v>
      </c>
      <c r="AC37" s="217">
        <v>12259</v>
      </c>
      <c r="AD37" s="217"/>
      <c r="AE37" s="217"/>
      <c r="AF37" s="217"/>
      <c r="AG37" s="217">
        <f>8264+1862</f>
        <v>10126</v>
      </c>
      <c r="AH37" s="217">
        <f>170033+684803.43</f>
        <v>854836.43</v>
      </c>
    </row>
    <row r="38" spans="1:34" ht="15.05" customHeight="1" x14ac:dyDescent="0.3">
      <c r="A38" s="213">
        <v>31</v>
      </c>
      <c r="B38" s="214" t="s">
        <v>39</v>
      </c>
      <c r="C38" s="215" t="s">
        <v>641</v>
      </c>
      <c r="D38" s="205" t="s">
        <v>639</v>
      </c>
      <c r="E38" s="218"/>
      <c r="F38" s="218"/>
      <c r="G38" s="218"/>
      <c r="H38" s="218">
        <v>96.382000000000005</v>
      </c>
      <c r="I38" s="218">
        <v>1258.502</v>
      </c>
      <c r="J38" s="218"/>
      <c r="K38" s="218"/>
      <c r="L38" s="218"/>
      <c r="M38" s="218">
        <v>145030</v>
      </c>
      <c r="N38" s="218">
        <v>1484570</v>
      </c>
      <c r="O38" s="216"/>
      <c r="P38" s="216"/>
      <c r="Q38" s="216"/>
      <c r="R38" s="216">
        <v>8447</v>
      </c>
      <c r="S38" s="216">
        <v>228933</v>
      </c>
      <c r="T38" s="216"/>
      <c r="U38" s="216"/>
      <c r="V38" s="216"/>
      <c r="W38" s="216">
        <v>22723</v>
      </c>
      <c r="X38" s="216">
        <v>672704</v>
      </c>
      <c r="Y38" s="217"/>
      <c r="Z38" s="217"/>
      <c r="AA38" s="217"/>
      <c r="AB38" s="217">
        <v>411</v>
      </c>
      <c r="AC38" s="217">
        <v>15300</v>
      </c>
      <c r="AD38" s="217"/>
      <c r="AE38" s="217"/>
      <c r="AF38" s="217"/>
      <c r="AG38" s="217">
        <f>2412+10509</f>
        <v>12921</v>
      </c>
      <c r="AH38" s="217">
        <f>217432+730682</f>
        <v>948114</v>
      </c>
    </row>
    <row r="39" spans="1:34" ht="15.05" customHeight="1" x14ac:dyDescent="0.3">
      <c r="A39" s="213">
        <v>32</v>
      </c>
      <c r="B39" s="214" t="s">
        <v>424</v>
      </c>
      <c r="C39" s="215">
        <v>7</v>
      </c>
      <c r="D39" s="205" t="s">
        <v>643</v>
      </c>
      <c r="E39" s="218"/>
      <c r="F39" s="218"/>
      <c r="G39" s="218"/>
      <c r="H39" s="218"/>
      <c r="I39" s="218">
        <v>1151.46</v>
      </c>
      <c r="J39" s="218"/>
      <c r="K39" s="218"/>
      <c r="L39" s="218"/>
      <c r="M39" s="218"/>
      <c r="N39" s="218">
        <v>1481425</v>
      </c>
      <c r="O39" s="216"/>
      <c r="P39" s="216"/>
      <c r="Q39" s="216"/>
      <c r="R39" s="216"/>
      <c r="S39" s="216">
        <v>207550</v>
      </c>
      <c r="T39" s="216"/>
      <c r="U39" s="216"/>
      <c r="V39" s="216"/>
      <c r="W39" s="216"/>
      <c r="X39" s="216">
        <v>566128</v>
      </c>
      <c r="Y39" s="217"/>
      <c r="Z39" s="217"/>
      <c r="AA39" s="217"/>
      <c r="AB39" s="217"/>
      <c r="AC39" s="217">
        <v>12168</v>
      </c>
      <c r="AD39" s="217"/>
      <c r="AE39" s="217"/>
      <c r="AF39" s="217"/>
      <c r="AG39" s="217"/>
      <c r="AH39" s="217">
        <f>200255+673233</f>
        <v>873488</v>
      </c>
    </row>
    <row r="40" spans="1:34" ht="15.05" customHeight="1" x14ac:dyDescent="0.3">
      <c r="A40" s="213">
        <v>33</v>
      </c>
      <c r="B40" s="214" t="s">
        <v>413</v>
      </c>
      <c r="C40" s="215">
        <v>16</v>
      </c>
      <c r="D40" s="205" t="s">
        <v>642</v>
      </c>
      <c r="E40" s="218"/>
      <c r="F40" s="218"/>
      <c r="G40" s="218"/>
      <c r="H40" s="218"/>
      <c r="I40" s="218">
        <v>1250.396</v>
      </c>
      <c r="J40" s="218"/>
      <c r="K40" s="218"/>
      <c r="L40" s="218"/>
      <c r="M40" s="218"/>
      <c r="N40" s="218">
        <v>1727405</v>
      </c>
      <c r="O40" s="216"/>
      <c r="P40" s="216"/>
      <c r="Q40" s="216"/>
      <c r="R40" s="216"/>
      <c r="S40" s="216">
        <v>187350</v>
      </c>
      <c r="T40" s="216"/>
      <c r="U40" s="216"/>
      <c r="V40" s="216"/>
      <c r="W40" s="216"/>
      <c r="X40" s="216">
        <v>563394</v>
      </c>
      <c r="Y40" s="217"/>
      <c r="Z40" s="217"/>
      <c r="AA40" s="217"/>
      <c r="AB40" s="217"/>
      <c r="AC40" s="217">
        <v>10951</v>
      </c>
      <c r="AD40" s="217"/>
      <c r="AE40" s="217"/>
      <c r="AF40" s="217"/>
      <c r="AG40" s="217"/>
      <c r="AH40" s="217">
        <f>175479+574499</f>
        <v>749978</v>
      </c>
    </row>
    <row r="41" spans="1:34" ht="15.05" customHeight="1" x14ac:dyDescent="0.3">
      <c r="A41" s="213">
        <v>34</v>
      </c>
      <c r="B41" s="214" t="s">
        <v>678</v>
      </c>
      <c r="C41" s="215">
        <v>42</v>
      </c>
      <c r="D41" s="205" t="s">
        <v>697</v>
      </c>
      <c r="E41" s="218"/>
      <c r="F41" s="218"/>
      <c r="G41" s="218"/>
      <c r="H41" s="218"/>
      <c r="I41" s="218">
        <v>457.28999999999996</v>
      </c>
      <c r="J41" s="218"/>
      <c r="K41" s="218"/>
      <c r="L41" s="218"/>
      <c r="M41" s="218"/>
      <c r="N41" s="218">
        <v>647593</v>
      </c>
      <c r="O41" s="216"/>
      <c r="P41" s="216"/>
      <c r="Q41" s="216"/>
      <c r="R41" s="216"/>
      <c r="S41" s="216">
        <v>50870</v>
      </c>
      <c r="T41" s="216"/>
      <c r="U41" s="216"/>
      <c r="V41" s="216"/>
      <c r="W41" s="216"/>
      <c r="X41" s="216">
        <v>155517</v>
      </c>
      <c r="Y41" s="217"/>
      <c r="Z41" s="217"/>
      <c r="AA41" s="217"/>
      <c r="AB41" s="217"/>
      <c r="AC41" s="217">
        <v>3359</v>
      </c>
      <c r="AD41" s="217"/>
      <c r="AE41" s="217"/>
      <c r="AF41" s="217"/>
      <c r="AG41" s="217"/>
      <c r="AH41" s="217">
        <f>163909+46729</f>
        <v>210638</v>
      </c>
    </row>
    <row r="42" spans="1:34" ht="15.05" customHeight="1" x14ac:dyDescent="0.3">
      <c r="A42" s="213">
        <v>35</v>
      </c>
      <c r="B42" s="214" t="s">
        <v>424</v>
      </c>
      <c r="C42" s="215">
        <v>9</v>
      </c>
      <c r="D42" s="205" t="s">
        <v>647</v>
      </c>
      <c r="E42" s="218"/>
      <c r="F42" s="218"/>
      <c r="G42" s="218"/>
      <c r="H42" s="218"/>
      <c r="I42" s="218">
        <v>488.46</v>
      </c>
      <c r="J42" s="218"/>
      <c r="K42" s="218"/>
      <c r="L42" s="218"/>
      <c r="M42" s="218"/>
      <c r="N42" s="218">
        <v>738121</v>
      </c>
      <c r="O42" s="216"/>
      <c r="P42" s="216"/>
      <c r="Q42" s="216"/>
      <c r="R42" s="216"/>
      <c r="S42" s="216">
        <v>50625</v>
      </c>
      <c r="T42" s="216"/>
      <c r="U42" s="216"/>
      <c r="V42" s="216"/>
      <c r="W42" s="216"/>
      <c r="X42" s="216">
        <v>148683</v>
      </c>
      <c r="Y42" s="217"/>
      <c r="Z42" s="217"/>
      <c r="AA42" s="217"/>
      <c r="AB42" s="217"/>
      <c r="AC42" s="217">
        <v>1935</v>
      </c>
      <c r="AD42" s="217"/>
      <c r="AE42" s="217"/>
      <c r="AF42" s="217"/>
      <c r="AG42" s="217"/>
      <c r="AH42" s="217">
        <f>42057+158914</f>
        <v>200971</v>
      </c>
    </row>
    <row r="43" spans="1:34" ht="15.05" customHeight="1" x14ac:dyDescent="0.3">
      <c r="A43" s="213">
        <v>36</v>
      </c>
      <c r="B43" s="214" t="s">
        <v>678</v>
      </c>
      <c r="C43" s="215" t="s">
        <v>696</v>
      </c>
      <c r="D43" s="205" t="s">
        <v>698</v>
      </c>
      <c r="E43" s="218"/>
      <c r="F43" s="218"/>
      <c r="G43" s="218"/>
      <c r="H43" s="218"/>
      <c r="I43" s="218">
        <v>323.33999999999997</v>
      </c>
      <c r="J43" s="218"/>
      <c r="K43" s="218"/>
      <c r="L43" s="218"/>
      <c r="M43" s="218"/>
      <c r="N43" s="218">
        <v>713388</v>
      </c>
      <c r="O43" s="216"/>
      <c r="P43" s="216"/>
      <c r="Q43" s="216"/>
      <c r="R43" s="216"/>
      <c r="S43" s="216">
        <v>16950</v>
      </c>
      <c r="T43" s="216"/>
      <c r="U43" s="216"/>
      <c r="V43" s="216"/>
      <c r="W43" s="216"/>
      <c r="X43" s="216">
        <v>90710</v>
      </c>
      <c r="Y43" s="217"/>
      <c r="Z43" s="217"/>
      <c r="AA43" s="217"/>
      <c r="AB43" s="217"/>
      <c r="AC43" s="217">
        <v>836</v>
      </c>
      <c r="AD43" s="217"/>
      <c r="AE43" s="217"/>
      <c r="AF43" s="217"/>
      <c r="AG43" s="217"/>
      <c r="AH43" s="217">
        <f>21191+68373</f>
        <v>89564</v>
      </c>
    </row>
    <row r="44" spans="1:34" ht="15.05" customHeight="1" x14ac:dyDescent="0.3">
      <c r="A44" s="213">
        <v>37</v>
      </c>
      <c r="B44" s="214" t="s">
        <v>682</v>
      </c>
      <c r="C44" s="215">
        <v>21</v>
      </c>
      <c r="D44" s="205" t="s">
        <v>681</v>
      </c>
      <c r="E44" s="218"/>
      <c r="F44" s="218"/>
      <c r="G44" s="218"/>
      <c r="H44" s="218"/>
      <c r="I44" s="218">
        <v>75.309999999999988</v>
      </c>
      <c r="J44" s="218"/>
      <c r="K44" s="218"/>
      <c r="L44" s="218"/>
      <c r="M44" s="218"/>
      <c r="N44" s="218">
        <v>62285</v>
      </c>
      <c r="O44" s="216"/>
      <c r="P44" s="216"/>
      <c r="Q44" s="216"/>
      <c r="R44" s="216"/>
      <c r="S44" s="216">
        <v>6920</v>
      </c>
      <c r="T44" s="216"/>
      <c r="U44" s="216"/>
      <c r="V44" s="216"/>
      <c r="W44" s="216"/>
      <c r="X44" s="216">
        <v>1605</v>
      </c>
      <c r="Y44" s="217"/>
      <c r="Z44" s="217"/>
      <c r="AA44" s="217"/>
      <c r="AB44" s="217"/>
      <c r="AC44" s="217">
        <v>48</v>
      </c>
      <c r="AD44" s="217"/>
      <c r="AE44" s="217"/>
      <c r="AF44" s="217"/>
      <c r="AG44" s="217"/>
      <c r="AH44" s="217">
        <f>11874+245</f>
        <v>12119</v>
      </c>
    </row>
    <row r="45" spans="1:34" ht="15.05" customHeight="1" x14ac:dyDescent="0.3">
      <c r="A45" s="219">
        <v>38</v>
      </c>
      <c r="B45" s="220"/>
      <c r="C45" s="221"/>
      <c r="D45" s="221"/>
      <c r="E45" s="218"/>
      <c r="F45" s="218"/>
      <c r="G45" s="218"/>
      <c r="H45" s="218"/>
      <c r="I45" s="218"/>
      <c r="J45" s="218"/>
      <c r="K45" s="218"/>
      <c r="L45" s="218"/>
      <c r="M45" s="218"/>
      <c r="N45" s="218"/>
      <c r="O45" s="216"/>
      <c r="P45" s="216"/>
      <c r="Q45" s="216"/>
      <c r="R45" s="216"/>
      <c r="S45" s="216"/>
      <c r="T45" s="216"/>
      <c r="U45" s="216"/>
      <c r="V45" s="216"/>
      <c r="W45" s="216"/>
      <c r="X45" s="216"/>
      <c r="Y45" s="217"/>
      <c r="Z45" s="217"/>
      <c r="AA45" s="217"/>
      <c r="AB45" s="217"/>
      <c r="AC45" s="217"/>
      <c r="AD45" s="217"/>
      <c r="AE45" s="217"/>
      <c r="AF45" s="217"/>
      <c r="AG45" s="217"/>
      <c r="AH45" s="217"/>
    </row>
    <row r="46" spans="1:34" ht="15.05" customHeight="1" x14ac:dyDescent="0.3">
      <c r="A46" s="219">
        <v>39</v>
      </c>
      <c r="B46" s="220"/>
      <c r="C46" s="221"/>
      <c r="D46" s="221"/>
      <c r="E46" s="218"/>
      <c r="F46" s="218"/>
      <c r="G46" s="218"/>
      <c r="H46" s="218"/>
      <c r="I46" s="218"/>
      <c r="J46" s="218"/>
      <c r="K46" s="218"/>
      <c r="L46" s="218"/>
      <c r="M46" s="218"/>
      <c r="N46" s="218"/>
      <c r="O46" s="216"/>
      <c r="P46" s="216"/>
      <c r="Q46" s="216"/>
      <c r="R46" s="216"/>
      <c r="S46" s="216"/>
      <c r="T46" s="216"/>
      <c r="U46" s="216"/>
      <c r="V46" s="216"/>
      <c r="W46" s="216"/>
      <c r="X46" s="216"/>
      <c r="Y46" s="217"/>
      <c r="Z46" s="217"/>
      <c r="AA46" s="217"/>
      <c r="AB46" s="217"/>
      <c r="AC46" s="217"/>
      <c r="AD46" s="217"/>
      <c r="AE46" s="217"/>
      <c r="AF46" s="217"/>
      <c r="AG46" s="217"/>
      <c r="AH46" s="217"/>
    </row>
    <row r="47" spans="1:34" ht="15.05" customHeight="1" x14ac:dyDescent="0.3">
      <c r="A47" s="219">
        <v>40</v>
      </c>
      <c r="B47" s="220"/>
      <c r="C47" s="221"/>
      <c r="D47" s="221"/>
      <c r="E47" s="218"/>
      <c r="F47" s="218"/>
      <c r="G47" s="218"/>
      <c r="H47" s="218"/>
      <c r="I47" s="218"/>
      <c r="J47" s="218"/>
      <c r="K47" s="218"/>
      <c r="L47" s="218"/>
      <c r="M47" s="218"/>
      <c r="N47" s="218"/>
      <c r="O47" s="216"/>
      <c r="P47" s="216"/>
      <c r="Q47" s="216"/>
      <c r="R47" s="216"/>
      <c r="S47" s="216"/>
      <c r="T47" s="216"/>
      <c r="U47" s="216"/>
      <c r="V47" s="216"/>
      <c r="W47" s="216"/>
      <c r="X47" s="216"/>
      <c r="Y47" s="217"/>
      <c r="Z47" s="217"/>
      <c r="AA47" s="217"/>
      <c r="AB47" s="217"/>
      <c r="AC47" s="217"/>
      <c r="AD47" s="217"/>
      <c r="AE47" s="217"/>
      <c r="AF47" s="217"/>
      <c r="AG47" s="217"/>
      <c r="AH47" s="217"/>
    </row>
    <row r="53" spans="4:4" x14ac:dyDescent="0.3">
      <c r="D53" s="222"/>
    </row>
  </sheetData>
  <mergeCells count="15">
    <mergeCell ref="B2:H2"/>
    <mergeCell ref="I2:N2"/>
    <mergeCell ref="B3:H3"/>
    <mergeCell ref="I3:N3"/>
    <mergeCell ref="B4:H4"/>
    <mergeCell ref="I4:N4"/>
    <mergeCell ref="T6:X6"/>
    <mergeCell ref="Y6:AC6"/>
    <mergeCell ref="AD6:AH6"/>
    <mergeCell ref="A6:A7"/>
    <mergeCell ref="B6:B7"/>
    <mergeCell ref="C6:C7"/>
    <mergeCell ref="E6:I6"/>
    <mergeCell ref="J6:N6"/>
    <mergeCell ref="O6:S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76"/>
  <sheetViews>
    <sheetView zoomScale="55" zoomScaleNormal="55" workbookViewId="0">
      <pane xSplit="2" ySplit="1" topLeftCell="C2" activePane="bottomRight" state="frozen"/>
      <selection pane="topRight" activeCell="C1" sqref="C1"/>
      <selection pane="bottomLeft" activeCell="A3" sqref="A3"/>
      <selection pane="bottomRight" activeCell="E6" sqref="E6:E9"/>
    </sheetView>
  </sheetViews>
  <sheetFormatPr defaultColWidth="8.6640625" defaultRowHeight="35.1" customHeight="1" x14ac:dyDescent="0.3"/>
  <cols>
    <col min="1" max="1" width="8.6640625" style="195"/>
    <col min="2" max="2" width="17.6640625" style="195" customWidth="1"/>
    <col min="3" max="5" width="26.44140625" style="195" customWidth="1"/>
    <col min="6" max="6" width="6.44140625" style="195" customWidth="1"/>
    <col min="7" max="7" width="8.6640625" style="195"/>
    <col min="8" max="8" width="14.6640625" style="195" customWidth="1"/>
    <col min="9" max="9" width="16.33203125" style="195" customWidth="1"/>
    <col min="10" max="10" width="25.44140625" style="195" customWidth="1"/>
    <col min="11" max="16384" width="8.6640625" style="195"/>
  </cols>
  <sheetData>
    <row r="1" spans="1:10" s="196" customFormat="1" ht="35.1" customHeight="1" x14ac:dyDescent="0.3">
      <c r="A1" s="194" t="s">
        <v>76</v>
      </c>
      <c r="B1" s="194" t="s">
        <v>666</v>
      </c>
      <c r="C1" s="194" t="s">
        <v>377</v>
      </c>
      <c r="D1" s="194" t="s">
        <v>779</v>
      </c>
      <c r="E1" s="194" t="s">
        <v>780</v>
      </c>
      <c r="F1" s="480" t="s">
        <v>781</v>
      </c>
      <c r="G1" s="480"/>
      <c r="H1" s="194" t="s">
        <v>782</v>
      </c>
      <c r="I1" s="194" t="s">
        <v>783</v>
      </c>
      <c r="J1" s="194" t="s">
        <v>784</v>
      </c>
    </row>
    <row r="2" spans="1:10" ht="35.1" customHeight="1" x14ac:dyDescent="0.3">
      <c r="A2" s="476">
        <v>1</v>
      </c>
      <c r="B2" s="476" t="s">
        <v>31</v>
      </c>
      <c r="C2" s="476">
        <v>12916.2</v>
      </c>
      <c r="D2" s="476">
        <v>3.46</v>
      </c>
      <c r="E2" s="476">
        <f>C2*D2</f>
        <v>44690.052000000003</v>
      </c>
      <c r="F2" s="476">
        <v>4</v>
      </c>
      <c r="G2" s="197">
        <v>1</v>
      </c>
      <c r="H2" s="197">
        <v>9</v>
      </c>
      <c r="I2" s="197">
        <v>400</v>
      </c>
      <c r="J2" s="197">
        <v>52339</v>
      </c>
    </row>
    <row r="3" spans="1:10" ht="35.1" customHeight="1" x14ac:dyDescent="0.3">
      <c r="A3" s="476"/>
      <c r="B3" s="476"/>
      <c r="C3" s="476"/>
      <c r="D3" s="476">
        <v>3.46</v>
      </c>
      <c r="E3" s="476"/>
      <c r="F3" s="476"/>
      <c r="G3" s="197">
        <v>1</v>
      </c>
      <c r="H3" s="197">
        <v>9</v>
      </c>
      <c r="I3" s="197">
        <v>400</v>
      </c>
      <c r="J3" s="197">
        <v>52340</v>
      </c>
    </row>
    <row r="4" spans="1:10" ht="35.1" customHeight="1" x14ac:dyDescent="0.3">
      <c r="A4" s="476"/>
      <c r="B4" s="476"/>
      <c r="C4" s="476"/>
      <c r="D4" s="476"/>
      <c r="E4" s="476">
        <f>C2*D3</f>
        <v>44690.052000000003</v>
      </c>
      <c r="F4" s="476"/>
      <c r="G4" s="197">
        <v>1</v>
      </c>
      <c r="H4" s="197">
        <v>9</v>
      </c>
      <c r="I4" s="197">
        <v>400</v>
      </c>
      <c r="J4" s="197">
        <v>53166</v>
      </c>
    </row>
    <row r="5" spans="1:10" ht="35.1" customHeight="1" x14ac:dyDescent="0.3">
      <c r="A5" s="476"/>
      <c r="B5" s="476"/>
      <c r="C5" s="476"/>
      <c r="D5" s="476"/>
      <c r="E5" s="476"/>
      <c r="F5" s="476"/>
      <c r="G5" s="197">
        <v>1</v>
      </c>
      <c r="H5" s="197">
        <v>9</v>
      </c>
      <c r="I5" s="197">
        <v>400</v>
      </c>
      <c r="J5" s="197">
        <v>53165</v>
      </c>
    </row>
    <row r="6" spans="1:10" ht="35.1" customHeight="1" x14ac:dyDescent="0.3">
      <c r="A6" s="476">
        <v>2</v>
      </c>
      <c r="B6" s="476" t="s">
        <v>36</v>
      </c>
      <c r="C6" s="476">
        <v>11983.5</v>
      </c>
      <c r="D6" s="476">
        <v>3.46</v>
      </c>
      <c r="E6" s="476">
        <f>C6*D6</f>
        <v>41462.909999999996</v>
      </c>
      <c r="F6" s="476">
        <v>4</v>
      </c>
      <c r="G6" s="197">
        <v>1</v>
      </c>
      <c r="H6" s="197">
        <v>9</v>
      </c>
      <c r="I6" s="197">
        <v>400</v>
      </c>
      <c r="J6" s="197">
        <v>4314</v>
      </c>
    </row>
    <row r="7" spans="1:10" ht="35.1" customHeight="1" x14ac:dyDescent="0.3">
      <c r="A7" s="476"/>
      <c r="B7" s="476"/>
      <c r="C7" s="476"/>
      <c r="D7" s="476"/>
      <c r="E7" s="476"/>
      <c r="F7" s="476"/>
      <c r="G7" s="197">
        <v>1</v>
      </c>
      <c r="H7" s="197">
        <v>9</v>
      </c>
      <c r="I7" s="197">
        <v>400</v>
      </c>
      <c r="J7" s="197">
        <v>4313</v>
      </c>
    </row>
    <row r="8" spans="1:10" ht="35.1" customHeight="1" x14ac:dyDescent="0.3">
      <c r="A8" s="476"/>
      <c r="B8" s="476"/>
      <c r="C8" s="476"/>
      <c r="D8" s="476"/>
      <c r="E8" s="476"/>
      <c r="F8" s="476"/>
      <c r="G8" s="197">
        <v>1</v>
      </c>
      <c r="H8" s="197">
        <v>9</v>
      </c>
      <c r="I8" s="197">
        <v>400</v>
      </c>
      <c r="J8" s="197">
        <v>4311</v>
      </c>
    </row>
    <row r="9" spans="1:10" ht="35.1" customHeight="1" x14ac:dyDescent="0.3">
      <c r="A9" s="476"/>
      <c r="B9" s="476"/>
      <c r="C9" s="476"/>
      <c r="D9" s="476"/>
      <c r="E9" s="476"/>
      <c r="F9" s="476"/>
      <c r="G9" s="197">
        <v>1</v>
      </c>
      <c r="H9" s="197">
        <v>9</v>
      </c>
      <c r="I9" s="197">
        <v>400</v>
      </c>
      <c r="J9" s="197">
        <v>4312</v>
      </c>
    </row>
    <row r="10" spans="1:10" ht="35.1" customHeight="1" x14ac:dyDescent="0.3">
      <c r="A10" s="193">
        <v>3</v>
      </c>
      <c r="B10" s="193" t="s">
        <v>1</v>
      </c>
      <c r="C10" s="193">
        <v>2355</v>
      </c>
      <c r="D10" s="193">
        <v>3.46</v>
      </c>
      <c r="E10" s="193">
        <f>C10*D10</f>
        <v>8148.3</v>
      </c>
      <c r="F10" s="193">
        <v>1</v>
      </c>
      <c r="G10" s="197">
        <v>1</v>
      </c>
      <c r="H10" s="197">
        <v>9</v>
      </c>
      <c r="I10" s="197">
        <v>400</v>
      </c>
      <c r="J10" s="197">
        <v>118524</v>
      </c>
    </row>
    <row r="11" spans="1:10" ht="35.1" customHeight="1" x14ac:dyDescent="0.3">
      <c r="A11" s="476">
        <v>4</v>
      </c>
      <c r="B11" s="476" t="s">
        <v>40</v>
      </c>
      <c r="C11" s="476">
        <v>7358</v>
      </c>
      <c r="D11" s="476">
        <v>3.46</v>
      </c>
      <c r="E11" s="476">
        <f>C11*D11</f>
        <v>25458.68</v>
      </c>
      <c r="F11" s="476">
        <v>4</v>
      </c>
      <c r="G11" s="197">
        <v>1</v>
      </c>
      <c r="H11" s="197">
        <v>12</v>
      </c>
      <c r="I11" s="197">
        <v>630</v>
      </c>
      <c r="J11" s="197">
        <v>135706</v>
      </c>
    </row>
    <row r="12" spans="1:10" ht="35.1" customHeight="1" x14ac:dyDescent="0.3">
      <c r="A12" s="476"/>
      <c r="B12" s="476"/>
      <c r="C12" s="476"/>
      <c r="D12" s="476"/>
      <c r="E12" s="476"/>
      <c r="F12" s="476"/>
      <c r="G12" s="197">
        <v>1</v>
      </c>
      <c r="H12" s="197">
        <v>12</v>
      </c>
      <c r="I12" s="197">
        <v>400</v>
      </c>
      <c r="J12" s="197">
        <v>135705</v>
      </c>
    </row>
    <row r="13" spans="1:10" ht="35.1" customHeight="1" x14ac:dyDescent="0.3">
      <c r="A13" s="476"/>
      <c r="B13" s="476"/>
      <c r="C13" s="476"/>
      <c r="D13" s="476"/>
      <c r="E13" s="476"/>
      <c r="F13" s="476"/>
      <c r="G13" s="197">
        <v>1</v>
      </c>
      <c r="H13" s="197">
        <v>12</v>
      </c>
      <c r="I13" s="197">
        <v>630</v>
      </c>
      <c r="J13" s="197">
        <v>131518</v>
      </c>
    </row>
    <row r="14" spans="1:10" ht="35.1" customHeight="1" x14ac:dyDescent="0.3">
      <c r="A14" s="476"/>
      <c r="B14" s="476"/>
      <c r="C14" s="476"/>
      <c r="D14" s="476"/>
      <c r="E14" s="476"/>
      <c r="F14" s="476"/>
      <c r="G14" s="197">
        <v>1</v>
      </c>
      <c r="H14" s="197">
        <v>12</v>
      </c>
      <c r="I14" s="197">
        <v>630</v>
      </c>
      <c r="J14" s="197">
        <v>131516</v>
      </c>
    </row>
    <row r="15" spans="1:10" ht="35.1" customHeight="1" x14ac:dyDescent="0.3">
      <c r="A15" s="476">
        <v>5</v>
      </c>
      <c r="B15" s="476" t="s">
        <v>0</v>
      </c>
      <c r="C15" s="476">
        <v>8432.1</v>
      </c>
      <c r="D15" s="476">
        <v>3.46</v>
      </c>
      <c r="E15" s="476">
        <f>D15*C15</f>
        <v>29175.066000000003</v>
      </c>
      <c r="F15" s="476">
        <v>3</v>
      </c>
      <c r="G15" s="197">
        <v>1</v>
      </c>
      <c r="H15" s="197">
        <v>10</v>
      </c>
      <c r="I15" s="197">
        <v>630</v>
      </c>
      <c r="J15" s="197">
        <v>141728</v>
      </c>
    </row>
    <row r="16" spans="1:10" ht="35.1" customHeight="1" x14ac:dyDescent="0.3">
      <c r="A16" s="476"/>
      <c r="B16" s="476"/>
      <c r="C16" s="476"/>
      <c r="D16" s="476"/>
      <c r="E16" s="476"/>
      <c r="F16" s="476"/>
      <c r="G16" s="197">
        <v>1</v>
      </c>
      <c r="H16" s="197">
        <v>10</v>
      </c>
      <c r="I16" s="197">
        <v>630</v>
      </c>
      <c r="J16" s="197">
        <v>141727</v>
      </c>
    </row>
    <row r="17" spans="1:10" ht="35.1" customHeight="1" x14ac:dyDescent="0.3">
      <c r="A17" s="476"/>
      <c r="B17" s="476"/>
      <c r="C17" s="476"/>
      <c r="D17" s="476"/>
      <c r="E17" s="476"/>
      <c r="F17" s="476"/>
      <c r="G17" s="197">
        <v>1</v>
      </c>
      <c r="H17" s="197">
        <v>10</v>
      </c>
      <c r="I17" s="197">
        <v>630</v>
      </c>
      <c r="J17" s="197">
        <v>141726</v>
      </c>
    </row>
    <row r="18" spans="1:10" ht="35.1" customHeight="1" x14ac:dyDescent="0.3">
      <c r="A18" s="476">
        <v>6</v>
      </c>
      <c r="B18" s="476" t="s">
        <v>3</v>
      </c>
      <c r="C18" s="476">
        <v>4222.6000000000004</v>
      </c>
      <c r="D18" s="476">
        <v>3.46</v>
      </c>
      <c r="E18" s="476">
        <f>C18*D18</f>
        <v>14610.196000000002</v>
      </c>
      <c r="F18" s="476">
        <v>2</v>
      </c>
      <c r="G18" s="197">
        <v>1</v>
      </c>
      <c r="H18" s="197">
        <v>10</v>
      </c>
      <c r="I18" s="197">
        <v>630</v>
      </c>
      <c r="J18" s="197">
        <v>146323</v>
      </c>
    </row>
    <row r="19" spans="1:10" ht="35.1" customHeight="1" x14ac:dyDescent="0.3">
      <c r="A19" s="476"/>
      <c r="B19" s="476"/>
      <c r="C19" s="476"/>
      <c r="D19" s="476"/>
      <c r="E19" s="476"/>
      <c r="F19" s="476"/>
      <c r="G19" s="197">
        <v>1</v>
      </c>
      <c r="H19" s="197">
        <v>10</v>
      </c>
      <c r="I19" s="197">
        <v>630</v>
      </c>
      <c r="J19" s="197">
        <v>146324</v>
      </c>
    </row>
    <row r="20" spans="1:10" ht="35.1" customHeight="1" x14ac:dyDescent="0.3">
      <c r="A20" s="476">
        <v>7</v>
      </c>
      <c r="B20" s="476" t="s">
        <v>4</v>
      </c>
      <c r="C20" s="476">
        <v>5627.6</v>
      </c>
      <c r="D20" s="476">
        <v>3.46</v>
      </c>
      <c r="E20" s="476">
        <f>C20*D20</f>
        <v>19471.496000000003</v>
      </c>
      <c r="F20" s="476">
        <v>2</v>
      </c>
      <c r="G20" s="197">
        <v>1</v>
      </c>
      <c r="H20" s="197">
        <v>10</v>
      </c>
      <c r="I20" s="197">
        <v>630</v>
      </c>
      <c r="J20" s="197">
        <v>145893</v>
      </c>
    </row>
    <row r="21" spans="1:10" ht="35.1" customHeight="1" x14ac:dyDescent="0.3">
      <c r="A21" s="476"/>
      <c r="B21" s="476"/>
      <c r="C21" s="476"/>
      <c r="D21" s="476"/>
      <c r="E21" s="476"/>
      <c r="F21" s="476"/>
      <c r="G21" s="197">
        <v>1</v>
      </c>
      <c r="H21" s="197">
        <v>10</v>
      </c>
      <c r="I21" s="197">
        <v>630</v>
      </c>
      <c r="J21" s="197">
        <v>145892</v>
      </c>
    </row>
    <row r="22" spans="1:10" ht="35.1" customHeight="1" x14ac:dyDescent="0.3">
      <c r="A22" s="476">
        <v>8</v>
      </c>
      <c r="B22" s="476" t="s">
        <v>47</v>
      </c>
      <c r="C22" s="476">
        <v>5688.8</v>
      </c>
      <c r="D22" s="476">
        <v>3.46</v>
      </c>
      <c r="E22" s="476">
        <f>C22*D22</f>
        <v>19683.248</v>
      </c>
      <c r="F22" s="476">
        <v>2</v>
      </c>
      <c r="G22" s="197">
        <v>1</v>
      </c>
      <c r="H22" s="197">
        <v>7</v>
      </c>
      <c r="I22" s="197">
        <v>630</v>
      </c>
      <c r="J22" s="197">
        <v>162093</v>
      </c>
    </row>
    <row r="23" spans="1:10" ht="35.1" customHeight="1" x14ac:dyDescent="0.3">
      <c r="A23" s="476"/>
      <c r="B23" s="476"/>
      <c r="C23" s="476"/>
      <c r="D23" s="476"/>
      <c r="E23" s="476"/>
      <c r="F23" s="476"/>
      <c r="G23" s="197">
        <v>1</v>
      </c>
      <c r="H23" s="197">
        <v>9</v>
      </c>
      <c r="I23" s="197">
        <v>630</v>
      </c>
      <c r="J23" s="197">
        <v>162092</v>
      </c>
    </row>
    <row r="24" spans="1:10" ht="35.1" customHeight="1" x14ac:dyDescent="0.3">
      <c r="A24" s="476">
        <v>9</v>
      </c>
      <c r="B24" s="476" t="s">
        <v>6</v>
      </c>
      <c r="C24" s="476">
        <v>8264.2999999999993</v>
      </c>
      <c r="D24" s="476">
        <v>3.46</v>
      </c>
      <c r="E24" s="476">
        <f>C24*D24</f>
        <v>28594.477999999996</v>
      </c>
      <c r="F24" s="476">
        <v>2</v>
      </c>
      <c r="G24" s="197">
        <v>1</v>
      </c>
      <c r="H24" s="197">
        <v>18</v>
      </c>
      <c r="I24" s="197">
        <v>400</v>
      </c>
      <c r="J24" s="197">
        <v>152747</v>
      </c>
    </row>
    <row r="25" spans="1:10" ht="35.1" customHeight="1" x14ac:dyDescent="0.3">
      <c r="A25" s="476"/>
      <c r="B25" s="476"/>
      <c r="C25" s="476"/>
      <c r="D25" s="476"/>
      <c r="E25" s="476"/>
      <c r="F25" s="476"/>
      <c r="G25" s="197">
        <v>1</v>
      </c>
      <c r="H25" s="197">
        <v>18</v>
      </c>
      <c r="I25" s="197">
        <v>630</v>
      </c>
      <c r="J25" s="197">
        <v>152748</v>
      </c>
    </row>
    <row r="26" spans="1:10" ht="35.1" customHeight="1" x14ac:dyDescent="0.3">
      <c r="A26" s="193">
        <v>10</v>
      </c>
      <c r="B26" s="193" t="s">
        <v>59</v>
      </c>
      <c r="C26" s="193">
        <v>3016.8</v>
      </c>
      <c r="D26" s="193">
        <v>3.46</v>
      </c>
      <c r="E26" s="193">
        <f>C26*D26</f>
        <v>10438.128000000001</v>
      </c>
      <c r="F26" s="193">
        <v>1</v>
      </c>
      <c r="G26" s="197">
        <v>1</v>
      </c>
      <c r="H26" s="197">
        <v>10</v>
      </c>
      <c r="I26" s="197">
        <v>630</v>
      </c>
      <c r="J26" s="197">
        <v>165514</v>
      </c>
    </row>
    <row r="27" spans="1:10" ht="35.1" customHeight="1" x14ac:dyDescent="0.3">
      <c r="A27" s="476">
        <v>11</v>
      </c>
      <c r="B27" s="476" t="s">
        <v>68</v>
      </c>
      <c r="C27" s="476">
        <v>8288.9</v>
      </c>
      <c r="D27" s="476">
        <v>3.46</v>
      </c>
      <c r="E27" s="476">
        <f>C27*D27</f>
        <v>28679.593999999997</v>
      </c>
      <c r="F27" s="476">
        <v>2</v>
      </c>
      <c r="G27" s="197">
        <v>1</v>
      </c>
      <c r="H27" s="197">
        <v>17</v>
      </c>
      <c r="I27" s="197">
        <v>400</v>
      </c>
      <c r="J27" s="197">
        <v>161383</v>
      </c>
    </row>
    <row r="28" spans="1:10" ht="35.1" customHeight="1" x14ac:dyDescent="0.3">
      <c r="A28" s="476"/>
      <c r="B28" s="476"/>
      <c r="C28" s="476"/>
      <c r="D28" s="476"/>
      <c r="E28" s="476"/>
      <c r="F28" s="476"/>
      <c r="G28" s="197">
        <v>1</v>
      </c>
      <c r="H28" s="197">
        <v>17</v>
      </c>
      <c r="I28" s="197">
        <v>630</v>
      </c>
      <c r="J28" s="197">
        <v>161384</v>
      </c>
    </row>
    <row r="29" spans="1:10" ht="35.1" customHeight="1" x14ac:dyDescent="0.3">
      <c r="A29" s="476">
        <v>12</v>
      </c>
      <c r="B29" s="476" t="s">
        <v>274</v>
      </c>
      <c r="C29" s="476">
        <v>8073.9</v>
      </c>
      <c r="D29" s="476">
        <v>3.46</v>
      </c>
      <c r="E29" s="476">
        <f>C29*D29</f>
        <v>27935.694</v>
      </c>
      <c r="F29" s="476">
        <v>2</v>
      </c>
      <c r="G29" s="197">
        <v>1</v>
      </c>
      <c r="H29" s="197">
        <v>17</v>
      </c>
      <c r="I29" s="197">
        <v>630</v>
      </c>
      <c r="J29" s="197">
        <v>171308</v>
      </c>
    </row>
    <row r="30" spans="1:10" ht="35.1" customHeight="1" x14ac:dyDescent="0.3">
      <c r="A30" s="476"/>
      <c r="B30" s="476"/>
      <c r="C30" s="476"/>
      <c r="D30" s="476"/>
      <c r="E30" s="476"/>
      <c r="F30" s="476"/>
      <c r="G30" s="197">
        <v>1</v>
      </c>
      <c r="H30" s="197">
        <v>17</v>
      </c>
      <c r="I30" s="197">
        <v>400</v>
      </c>
      <c r="J30" s="197">
        <v>171307</v>
      </c>
    </row>
    <row r="31" spans="1:10" ht="35.1" customHeight="1" x14ac:dyDescent="0.3">
      <c r="A31" s="476">
        <v>13</v>
      </c>
      <c r="B31" s="476" t="s">
        <v>275</v>
      </c>
      <c r="C31" s="476">
        <v>8229.9</v>
      </c>
      <c r="D31" s="476">
        <v>3.46</v>
      </c>
      <c r="E31" s="476">
        <f>C31*D31</f>
        <v>28475.453999999998</v>
      </c>
      <c r="F31" s="476">
        <v>2</v>
      </c>
      <c r="G31" s="197">
        <v>1</v>
      </c>
      <c r="H31" s="197">
        <v>17</v>
      </c>
      <c r="I31" s="197">
        <v>630</v>
      </c>
      <c r="J31" s="197">
        <v>177130</v>
      </c>
    </row>
    <row r="32" spans="1:10" ht="35.1" customHeight="1" x14ac:dyDescent="0.3">
      <c r="A32" s="476"/>
      <c r="B32" s="476"/>
      <c r="C32" s="476"/>
      <c r="D32" s="476"/>
      <c r="E32" s="476"/>
      <c r="F32" s="476"/>
      <c r="G32" s="197">
        <v>1</v>
      </c>
      <c r="H32" s="197">
        <v>17</v>
      </c>
      <c r="I32" s="197">
        <v>400</v>
      </c>
      <c r="J32" s="197">
        <v>177129</v>
      </c>
    </row>
    <row r="33" spans="1:10" ht="35.1" customHeight="1" x14ac:dyDescent="0.3">
      <c r="A33" s="476">
        <v>14</v>
      </c>
      <c r="B33" s="476" t="s">
        <v>276</v>
      </c>
      <c r="C33" s="476">
        <v>8526</v>
      </c>
      <c r="D33" s="476">
        <v>3.46</v>
      </c>
      <c r="E33" s="476">
        <f>C33*D33</f>
        <v>29499.96</v>
      </c>
      <c r="F33" s="476">
        <v>2</v>
      </c>
      <c r="G33" s="197">
        <v>1</v>
      </c>
      <c r="H33" s="197">
        <v>17</v>
      </c>
      <c r="I33" s="197">
        <v>630</v>
      </c>
      <c r="J33" s="197">
        <v>178633</v>
      </c>
    </row>
    <row r="34" spans="1:10" ht="35.1" customHeight="1" x14ac:dyDescent="0.3">
      <c r="A34" s="476"/>
      <c r="B34" s="476"/>
      <c r="C34" s="476"/>
      <c r="D34" s="476"/>
      <c r="E34" s="476"/>
      <c r="F34" s="476"/>
      <c r="G34" s="197">
        <v>1</v>
      </c>
      <c r="H34" s="197">
        <v>17</v>
      </c>
      <c r="I34" s="197">
        <v>400</v>
      </c>
      <c r="J34" s="197">
        <v>178632</v>
      </c>
    </row>
    <row r="35" spans="1:10" ht="35.1" customHeight="1" x14ac:dyDescent="0.3">
      <c r="A35" s="476">
        <v>15</v>
      </c>
      <c r="B35" s="476" t="s">
        <v>277</v>
      </c>
      <c r="C35" s="476">
        <v>8137.3</v>
      </c>
      <c r="D35" s="476">
        <v>3.46</v>
      </c>
      <c r="E35" s="476">
        <f>C35*D35</f>
        <v>28155.058000000001</v>
      </c>
      <c r="F35" s="476">
        <v>2</v>
      </c>
      <c r="G35" s="197">
        <v>1</v>
      </c>
      <c r="H35" s="197">
        <v>17</v>
      </c>
      <c r="I35" s="197">
        <v>400</v>
      </c>
      <c r="J35" s="197">
        <v>180790</v>
      </c>
    </row>
    <row r="36" spans="1:10" ht="35.1" customHeight="1" x14ac:dyDescent="0.3">
      <c r="A36" s="476"/>
      <c r="B36" s="476"/>
      <c r="C36" s="476"/>
      <c r="D36" s="476"/>
      <c r="E36" s="476"/>
      <c r="F36" s="476"/>
      <c r="G36" s="197">
        <v>1</v>
      </c>
      <c r="H36" s="197">
        <v>17</v>
      </c>
      <c r="I36" s="197">
        <v>630</v>
      </c>
      <c r="J36" s="197">
        <v>180791</v>
      </c>
    </row>
    <row r="37" spans="1:10" ht="35.1" customHeight="1" x14ac:dyDescent="0.3">
      <c r="A37" s="476">
        <v>16</v>
      </c>
      <c r="B37" s="476" t="s">
        <v>369</v>
      </c>
      <c r="C37" s="476">
        <v>5313</v>
      </c>
      <c r="D37" s="476">
        <v>3.46</v>
      </c>
      <c r="E37" s="476">
        <f>C37*D37</f>
        <v>18382.98</v>
      </c>
      <c r="F37" s="476">
        <v>2</v>
      </c>
      <c r="G37" s="197">
        <v>1</v>
      </c>
      <c r="H37" s="197">
        <v>17</v>
      </c>
      <c r="I37" s="197">
        <v>630</v>
      </c>
      <c r="J37" s="197">
        <v>188465</v>
      </c>
    </row>
    <row r="38" spans="1:10" ht="35.1" customHeight="1" x14ac:dyDescent="0.3">
      <c r="A38" s="476"/>
      <c r="B38" s="476"/>
      <c r="C38" s="476"/>
      <c r="D38" s="476"/>
      <c r="E38" s="476"/>
      <c r="F38" s="476"/>
      <c r="G38" s="197">
        <v>1</v>
      </c>
      <c r="H38" s="197">
        <v>17</v>
      </c>
      <c r="I38" s="197">
        <v>400</v>
      </c>
      <c r="J38" s="197">
        <v>188464</v>
      </c>
    </row>
    <row r="39" spans="1:10" ht="35.1" customHeight="1" x14ac:dyDescent="0.3">
      <c r="A39" s="476">
        <v>17</v>
      </c>
      <c r="B39" s="476" t="s">
        <v>412</v>
      </c>
      <c r="C39" s="476">
        <v>13107.7</v>
      </c>
      <c r="D39" s="477">
        <v>3.46</v>
      </c>
      <c r="E39" s="476">
        <f>C39*3.46</f>
        <v>45352.642</v>
      </c>
      <c r="F39" s="476">
        <v>4</v>
      </c>
      <c r="G39" s="197">
        <v>1</v>
      </c>
      <c r="H39" s="197">
        <v>10</v>
      </c>
      <c r="I39" s="197">
        <v>630</v>
      </c>
      <c r="J39" s="197">
        <v>194266</v>
      </c>
    </row>
    <row r="40" spans="1:10" ht="35.1" customHeight="1" x14ac:dyDescent="0.3">
      <c r="A40" s="476"/>
      <c r="B40" s="476"/>
      <c r="C40" s="476"/>
      <c r="D40" s="478"/>
      <c r="E40" s="476"/>
      <c r="F40" s="476"/>
      <c r="G40" s="197">
        <v>1</v>
      </c>
      <c r="H40" s="197">
        <v>10</v>
      </c>
      <c r="I40" s="197">
        <v>630</v>
      </c>
      <c r="J40" s="197">
        <v>194264</v>
      </c>
    </row>
    <row r="41" spans="1:10" ht="35.1" customHeight="1" x14ac:dyDescent="0.3">
      <c r="A41" s="476"/>
      <c r="B41" s="476"/>
      <c r="C41" s="476"/>
      <c r="D41" s="478"/>
      <c r="E41" s="476"/>
      <c r="F41" s="476"/>
      <c r="G41" s="197">
        <v>1</v>
      </c>
      <c r="H41" s="197">
        <v>10</v>
      </c>
      <c r="I41" s="197">
        <v>630</v>
      </c>
      <c r="J41" s="197">
        <v>194265</v>
      </c>
    </row>
    <row r="42" spans="1:10" ht="35.1" customHeight="1" x14ac:dyDescent="0.3">
      <c r="A42" s="476"/>
      <c r="B42" s="476"/>
      <c r="C42" s="476"/>
      <c r="D42" s="479"/>
      <c r="E42" s="476"/>
      <c r="F42" s="476"/>
      <c r="G42" s="197">
        <v>1</v>
      </c>
      <c r="H42" s="197">
        <v>10</v>
      </c>
      <c r="I42" s="197">
        <v>630</v>
      </c>
      <c r="J42" s="197">
        <v>194267</v>
      </c>
    </row>
    <row r="43" spans="1:10" ht="35.1" customHeight="1" x14ac:dyDescent="0.3">
      <c r="A43" s="476">
        <v>19</v>
      </c>
      <c r="B43" s="476" t="s">
        <v>422</v>
      </c>
      <c r="C43" s="476">
        <v>12879.300000000001</v>
      </c>
      <c r="D43" s="477">
        <v>3.46</v>
      </c>
      <c r="E43" s="476">
        <f>C43*D43</f>
        <v>44562.378000000004</v>
      </c>
      <c r="F43" s="476">
        <v>4</v>
      </c>
      <c r="G43" s="197">
        <v>1</v>
      </c>
      <c r="H43" s="197">
        <v>10</v>
      </c>
      <c r="I43" s="197">
        <v>630</v>
      </c>
      <c r="J43" s="197">
        <v>215019</v>
      </c>
    </row>
    <row r="44" spans="1:10" ht="35.1" customHeight="1" x14ac:dyDescent="0.3">
      <c r="A44" s="476"/>
      <c r="B44" s="476"/>
      <c r="C44" s="476"/>
      <c r="D44" s="478"/>
      <c r="E44" s="476"/>
      <c r="F44" s="476"/>
      <c r="G44" s="197">
        <v>1</v>
      </c>
      <c r="H44" s="197">
        <v>10</v>
      </c>
      <c r="I44" s="197">
        <v>630</v>
      </c>
      <c r="J44" s="197">
        <v>215016</v>
      </c>
    </row>
    <row r="45" spans="1:10" ht="35.1" customHeight="1" x14ac:dyDescent="0.3">
      <c r="A45" s="476"/>
      <c r="B45" s="476"/>
      <c r="C45" s="476"/>
      <c r="D45" s="478"/>
      <c r="E45" s="476"/>
      <c r="F45" s="476"/>
      <c r="G45" s="197">
        <v>1</v>
      </c>
      <c r="H45" s="197">
        <v>10</v>
      </c>
      <c r="I45" s="197">
        <v>630</v>
      </c>
      <c r="J45" s="197">
        <v>215017</v>
      </c>
    </row>
    <row r="46" spans="1:10" ht="35.1" customHeight="1" x14ac:dyDescent="0.3">
      <c r="A46" s="476"/>
      <c r="B46" s="476"/>
      <c r="C46" s="476"/>
      <c r="D46" s="479"/>
      <c r="E46" s="476"/>
      <c r="F46" s="476"/>
      <c r="G46" s="197">
        <v>1</v>
      </c>
      <c r="H46" s="197">
        <v>10</v>
      </c>
      <c r="I46" s="197">
        <v>630</v>
      </c>
      <c r="J46" s="197">
        <v>215018</v>
      </c>
    </row>
    <row r="47" spans="1:10" ht="35.1" customHeight="1" x14ac:dyDescent="0.3">
      <c r="A47" s="476">
        <v>20</v>
      </c>
      <c r="B47" s="476" t="s">
        <v>446</v>
      </c>
      <c r="C47" s="476">
        <v>8492.1</v>
      </c>
      <c r="D47" s="476">
        <v>3.46</v>
      </c>
      <c r="E47" s="476">
        <f>C47*D47</f>
        <v>29382.666000000001</v>
      </c>
      <c r="F47" s="476">
        <v>2</v>
      </c>
      <c r="G47" s="197">
        <v>1</v>
      </c>
      <c r="H47" s="197">
        <v>17</v>
      </c>
      <c r="I47" s="197">
        <v>400</v>
      </c>
      <c r="J47" s="197" t="s">
        <v>785</v>
      </c>
    </row>
    <row r="48" spans="1:10" ht="35.1" customHeight="1" x14ac:dyDescent="0.3">
      <c r="A48" s="476"/>
      <c r="B48" s="476"/>
      <c r="C48" s="476"/>
      <c r="D48" s="476"/>
      <c r="E48" s="476"/>
      <c r="F48" s="476"/>
      <c r="G48" s="197">
        <v>1</v>
      </c>
      <c r="H48" s="197">
        <v>17</v>
      </c>
      <c r="I48" s="197">
        <v>630</v>
      </c>
      <c r="J48" s="197" t="s">
        <v>786</v>
      </c>
    </row>
    <row r="49" spans="1:10" ht="35.1" customHeight="1" x14ac:dyDescent="0.3">
      <c r="A49" s="476">
        <v>21</v>
      </c>
      <c r="B49" s="476" t="s">
        <v>451</v>
      </c>
      <c r="C49" s="476">
        <v>8129.1</v>
      </c>
      <c r="D49" s="476">
        <v>3.46</v>
      </c>
      <c r="E49" s="476">
        <f>C49*D49</f>
        <v>28126.686000000002</v>
      </c>
      <c r="F49" s="476">
        <v>2</v>
      </c>
      <c r="G49" s="197">
        <v>1</v>
      </c>
      <c r="H49" s="197">
        <v>18</v>
      </c>
      <c r="I49" s="197">
        <v>400</v>
      </c>
      <c r="J49" s="197" t="s">
        <v>787</v>
      </c>
    </row>
    <row r="50" spans="1:10" ht="35.1" customHeight="1" x14ac:dyDescent="0.3">
      <c r="A50" s="476"/>
      <c r="B50" s="476"/>
      <c r="C50" s="476"/>
      <c r="D50" s="476"/>
      <c r="E50" s="476"/>
      <c r="F50" s="476"/>
      <c r="G50" s="197">
        <v>1</v>
      </c>
      <c r="H50" s="197">
        <v>18</v>
      </c>
      <c r="I50" s="197">
        <v>630</v>
      </c>
      <c r="J50" s="197" t="s">
        <v>788</v>
      </c>
    </row>
    <row r="51" spans="1:10" ht="35.1" customHeight="1" x14ac:dyDescent="0.3">
      <c r="A51" s="476">
        <v>22</v>
      </c>
      <c r="B51" s="476" t="s">
        <v>454</v>
      </c>
      <c r="C51" s="476">
        <v>7883.5</v>
      </c>
      <c r="D51" s="476">
        <v>3.46</v>
      </c>
      <c r="E51" s="476">
        <f>C51*D51</f>
        <v>27276.91</v>
      </c>
      <c r="F51" s="476">
        <v>2</v>
      </c>
      <c r="G51" s="197">
        <v>1</v>
      </c>
      <c r="H51" s="197">
        <v>17</v>
      </c>
      <c r="I51" s="197">
        <v>630</v>
      </c>
      <c r="J51" s="197" t="s">
        <v>789</v>
      </c>
    </row>
    <row r="52" spans="1:10" ht="35.1" customHeight="1" x14ac:dyDescent="0.3">
      <c r="A52" s="476"/>
      <c r="B52" s="476"/>
      <c r="C52" s="476"/>
      <c r="D52" s="476"/>
      <c r="E52" s="476"/>
      <c r="F52" s="476"/>
      <c r="G52" s="197">
        <v>1</v>
      </c>
      <c r="H52" s="197">
        <v>17</v>
      </c>
      <c r="I52" s="197">
        <v>400</v>
      </c>
      <c r="J52" s="197" t="s">
        <v>790</v>
      </c>
    </row>
    <row r="53" spans="1:10" ht="35.1" customHeight="1" x14ac:dyDescent="0.3">
      <c r="A53" s="476">
        <v>23</v>
      </c>
      <c r="B53" s="476" t="s">
        <v>465</v>
      </c>
      <c r="C53" s="476">
        <v>7393.3</v>
      </c>
      <c r="D53" s="476">
        <v>3.46</v>
      </c>
      <c r="E53" s="476">
        <f>C53*D53</f>
        <v>25580.817999999999</v>
      </c>
      <c r="F53" s="476">
        <v>2</v>
      </c>
      <c r="G53" s="197">
        <v>1</v>
      </c>
      <c r="H53" s="197">
        <v>18</v>
      </c>
      <c r="I53" s="197">
        <v>400</v>
      </c>
      <c r="J53" s="197">
        <v>217783</v>
      </c>
    </row>
    <row r="54" spans="1:10" ht="35.1" customHeight="1" x14ac:dyDescent="0.3">
      <c r="A54" s="476"/>
      <c r="B54" s="476"/>
      <c r="C54" s="476"/>
      <c r="D54" s="476"/>
      <c r="E54" s="476"/>
      <c r="F54" s="476"/>
      <c r="G54" s="197">
        <v>1</v>
      </c>
      <c r="H54" s="197">
        <v>18</v>
      </c>
      <c r="I54" s="197">
        <v>630</v>
      </c>
      <c r="J54" s="197">
        <v>217782</v>
      </c>
    </row>
    <row r="55" spans="1:10" ht="35.1" customHeight="1" x14ac:dyDescent="0.3">
      <c r="A55" s="476">
        <v>24</v>
      </c>
      <c r="B55" s="476" t="s">
        <v>457</v>
      </c>
      <c r="C55" s="476">
        <v>6725.8</v>
      </c>
      <c r="D55" s="476">
        <v>3.46</v>
      </c>
      <c r="E55" s="476">
        <f>C55*D55</f>
        <v>23271.268</v>
      </c>
      <c r="F55" s="476">
        <v>2</v>
      </c>
      <c r="G55" s="197">
        <v>1</v>
      </c>
      <c r="H55" s="197">
        <v>18</v>
      </c>
      <c r="I55" s="197">
        <v>630</v>
      </c>
      <c r="J55" s="197" t="s">
        <v>791</v>
      </c>
    </row>
    <row r="56" spans="1:10" ht="35.1" customHeight="1" x14ac:dyDescent="0.3">
      <c r="A56" s="476"/>
      <c r="B56" s="476"/>
      <c r="C56" s="476"/>
      <c r="D56" s="476"/>
      <c r="E56" s="476"/>
      <c r="F56" s="476"/>
      <c r="G56" s="197">
        <v>1</v>
      </c>
      <c r="H56" s="197">
        <v>18</v>
      </c>
      <c r="I56" s="197">
        <v>400</v>
      </c>
      <c r="J56" s="197" t="s">
        <v>792</v>
      </c>
    </row>
    <row r="57" spans="1:10" ht="35.1" customHeight="1" x14ac:dyDescent="0.3">
      <c r="A57" s="476">
        <v>25</v>
      </c>
      <c r="B57" s="476" t="s">
        <v>466</v>
      </c>
      <c r="C57" s="476">
        <v>12033.8</v>
      </c>
      <c r="D57" s="477">
        <v>3.46</v>
      </c>
      <c r="E57" s="476">
        <f>C57*D57</f>
        <v>41636.947999999997</v>
      </c>
      <c r="F57" s="476">
        <v>8</v>
      </c>
      <c r="G57" s="197">
        <v>1</v>
      </c>
      <c r="H57" s="197">
        <v>10</v>
      </c>
      <c r="I57" s="197">
        <v>630</v>
      </c>
      <c r="J57" s="197" t="s">
        <v>793</v>
      </c>
    </row>
    <row r="58" spans="1:10" ht="35.1" customHeight="1" x14ac:dyDescent="0.3">
      <c r="A58" s="476"/>
      <c r="B58" s="476"/>
      <c r="C58" s="476"/>
      <c r="D58" s="478"/>
      <c r="E58" s="476"/>
      <c r="F58" s="476"/>
      <c r="G58" s="197">
        <v>1</v>
      </c>
      <c r="H58" s="197">
        <v>10</v>
      </c>
      <c r="I58" s="197">
        <v>630</v>
      </c>
      <c r="J58" s="197" t="s">
        <v>794</v>
      </c>
    </row>
    <row r="59" spans="1:10" ht="35.1" customHeight="1" x14ac:dyDescent="0.3">
      <c r="A59" s="476"/>
      <c r="B59" s="476"/>
      <c r="C59" s="476"/>
      <c r="D59" s="478"/>
      <c r="E59" s="476"/>
      <c r="F59" s="476"/>
      <c r="G59" s="197">
        <v>1</v>
      </c>
      <c r="H59" s="197">
        <v>10</v>
      </c>
      <c r="I59" s="197">
        <v>630</v>
      </c>
      <c r="J59" s="197" t="s">
        <v>795</v>
      </c>
    </row>
    <row r="60" spans="1:10" ht="35.1" customHeight="1" x14ac:dyDescent="0.3">
      <c r="A60" s="476"/>
      <c r="B60" s="476"/>
      <c r="C60" s="476"/>
      <c r="D60" s="478"/>
      <c r="E60" s="476"/>
      <c r="F60" s="476"/>
      <c r="G60" s="197">
        <v>1</v>
      </c>
      <c r="H60" s="197">
        <v>10</v>
      </c>
      <c r="I60" s="197">
        <v>630</v>
      </c>
      <c r="J60" s="197" t="s">
        <v>796</v>
      </c>
    </row>
    <row r="61" spans="1:10" ht="35.1" customHeight="1" x14ac:dyDescent="0.3">
      <c r="A61" s="476"/>
      <c r="B61" s="476"/>
      <c r="C61" s="476"/>
      <c r="D61" s="478"/>
      <c r="E61" s="476"/>
      <c r="F61" s="476"/>
      <c r="G61" s="197">
        <v>1</v>
      </c>
      <c r="H61" s="197">
        <v>10</v>
      </c>
      <c r="I61" s="197">
        <v>400</v>
      </c>
      <c r="J61" s="197" t="s">
        <v>797</v>
      </c>
    </row>
    <row r="62" spans="1:10" ht="35.1" customHeight="1" x14ac:dyDescent="0.3">
      <c r="A62" s="476"/>
      <c r="B62" s="476"/>
      <c r="C62" s="476"/>
      <c r="D62" s="478"/>
      <c r="E62" s="476"/>
      <c r="F62" s="476"/>
      <c r="G62" s="197">
        <v>1</v>
      </c>
      <c r="H62" s="197">
        <v>10</v>
      </c>
      <c r="I62" s="197">
        <v>400</v>
      </c>
      <c r="J62" s="197" t="s">
        <v>798</v>
      </c>
    </row>
    <row r="63" spans="1:10" ht="35.1" customHeight="1" x14ac:dyDescent="0.3">
      <c r="A63" s="476"/>
      <c r="B63" s="476"/>
      <c r="C63" s="476"/>
      <c r="D63" s="478"/>
      <c r="E63" s="476"/>
      <c r="F63" s="476"/>
      <c r="G63" s="197">
        <v>1</v>
      </c>
      <c r="H63" s="197">
        <v>10</v>
      </c>
      <c r="I63" s="197">
        <v>400</v>
      </c>
      <c r="J63" s="197" t="s">
        <v>799</v>
      </c>
    </row>
    <row r="64" spans="1:10" ht="35.1" customHeight="1" x14ac:dyDescent="0.3">
      <c r="A64" s="476"/>
      <c r="B64" s="476"/>
      <c r="C64" s="476"/>
      <c r="D64" s="479"/>
      <c r="E64" s="476"/>
      <c r="F64" s="476"/>
      <c r="G64" s="197">
        <v>1</v>
      </c>
      <c r="H64" s="197">
        <v>10</v>
      </c>
      <c r="I64" s="197">
        <v>400</v>
      </c>
      <c r="J64" s="197" t="s">
        <v>800</v>
      </c>
    </row>
    <row r="65" spans="1:10" ht="35.1" customHeight="1" x14ac:dyDescent="0.3">
      <c r="A65" s="476">
        <v>26</v>
      </c>
      <c r="B65" s="476" t="s">
        <v>562</v>
      </c>
      <c r="C65" s="476">
        <v>8176.2</v>
      </c>
      <c r="D65" s="476">
        <v>3.46</v>
      </c>
      <c r="E65" s="476">
        <f>C65*D65</f>
        <v>28289.651999999998</v>
      </c>
      <c r="F65" s="476">
        <v>2</v>
      </c>
      <c r="G65" s="197">
        <v>1</v>
      </c>
      <c r="H65" s="197">
        <v>17</v>
      </c>
      <c r="I65" s="197">
        <v>630</v>
      </c>
      <c r="J65" s="197" t="s">
        <v>801</v>
      </c>
    </row>
    <row r="66" spans="1:10" ht="35.1" customHeight="1" x14ac:dyDescent="0.3">
      <c r="A66" s="476"/>
      <c r="B66" s="476"/>
      <c r="C66" s="476"/>
      <c r="D66" s="476"/>
      <c r="E66" s="476"/>
      <c r="F66" s="476"/>
      <c r="G66" s="197">
        <v>1</v>
      </c>
      <c r="H66" s="197">
        <v>17</v>
      </c>
      <c r="I66" s="197">
        <v>400</v>
      </c>
      <c r="J66" s="197" t="s">
        <v>802</v>
      </c>
    </row>
    <row r="67" spans="1:10" ht="35.1" customHeight="1" x14ac:dyDescent="0.3">
      <c r="A67" s="476">
        <v>27</v>
      </c>
      <c r="B67" s="476" t="s">
        <v>563</v>
      </c>
      <c r="C67" s="476">
        <v>7304.9</v>
      </c>
      <c r="D67" s="476">
        <v>3.46</v>
      </c>
      <c r="E67" s="476">
        <f>C67*D67</f>
        <v>25274.953999999998</v>
      </c>
      <c r="F67" s="476">
        <v>2</v>
      </c>
      <c r="G67" s="197">
        <v>1</v>
      </c>
      <c r="H67" s="197">
        <v>18</v>
      </c>
      <c r="I67" s="197">
        <v>400</v>
      </c>
      <c r="J67" s="197" t="s">
        <v>803</v>
      </c>
    </row>
    <row r="68" spans="1:10" ht="35.1" customHeight="1" x14ac:dyDescent="0.3">
      <c r="A68" s="476"/>
      <c r="B68" s="476"/>
      <c r="C68" s="476"/>
      <c r="D68" s="476"/>
      <c r="E68" s="476"/>
      <c r="F68" s="476"/>
      <c r="G68" s="197">
        <v>1</v>
      </c>
      <c r="H68" s="197">
        <v>18</v>
      </c>
      <c r="I68" s="197">
        <v>630</v>
      </c>
      <c r="J68" s="197" t="s">
        <v>804</v>
      </c>
    </row>
    <row r="69" spans="1:10" ht="35.1" customHeight="1" x14ac:dyDescent="0.3">
      <c r="A69" s="476">
        <v>28</v>
      </c>
      <c r="B69" s="476" t="s">
        <v>618</v>
      </c>
      <c r="C69" s="476">
        <v>8327.5</v>
      </c>
      <c r="D69" s="476">
        <v>3.46</v>
      </c>
      <c r="E69" s="476">
        <f>C69*D69</f>
        <v>28813.15</v>
      </c>
      <c r="F69" s="476">
        <v>2</v>
      </c>
      <c r="G69" s="197">
        <v>1</v>
      </c>
      <c r="H69" s="197">
        <v>18</v>
      </c>
      <c r="I69" s="197">
        <v>400</v>
      </c>
      <c r="J69" s="197" t="s">
        <v>805</v>
      </c>
    </row>
    <row r="70" spans="1:10" ht="35.1" customHeight="1" x14ac:dyDescent="0.3">
      <c r="A70" s="476"/>
      <c r="B70" s="476"/>
      <c r="C70" s="476"/>
      <c r="D70" s="476"/>
      <c r="E70" s="476"/>
      <c r="F70" s="476"/>
      <c r="G70" s="197">
        <v>1</v>
      </c>
      <c r="H70" s="197">
        <v>18</v>
      </c>
      <c r="I70" s="197">
        <v>630</v>
      </c>
      <c r="J70" s="197" t="s">
        <v>806</v>
      </c>
    </row>
    <row r="71" spans="1:10" ht="35.1" customHeight="1" x14ac:dyDescent="0.3">
      <c r="A71" s="476">
        <v>34</v>
      </c>
      <c r="B71" s="476" t="s">
        <v>677</v>
      </c>
      <c r="C71" s="476">
        <v>9284.6</v>
      </c>
      <c r="D71" s="476">
        <v>3.46</v>
      </c>
      <c r="E71" s="476">
        <f>C71*D71</f>
        <v>32124.716</v>
      </c>
      <c r="F71" s="476">
        <v>2</v>
      </c>
      <c r="G71" s="197">
        <v>1</v>
      </c>
      <c r="H71" s="197">
        <v>19</v>
      </c>
      <c r="I71" s="197">
        <v>630</v>
      </c>
      <c r="J71" s="197" t="s">
        <v>807</v>
      </c>
    </row>
    <row r="72" spans="1:10" ht="35.1" customHeight="1" x14ac:dyDescent="0.3">
      <c r="A72" s="476"/>
      <c r="B72" s="476"/>
      <c r="C72" s="476"/>
      <c r="D72" s="476"/>
      <c r="E72" s="476"/>
      <c r="F72" s="476"/>
      <c r="G72" s="197">
        <v>1</v>
      </c>
      <c r="H72" s="197">
        <v>19</v>
      </c>
      <c r="I72" s="197">
        <v>400</v>
      </c>
      <c r="J72" s="197" t="s">
        <v>808</v>
      </c>
    </row>
    <row r="73" spans="1:10" ht="35.1" customHeight="1" x14ac:dyDescent="0.3">
      <c r="A73" s="476">
        <v>35</v>
      </c>
      <c r="B73" s="476" t="s">
        <v>647</v>
      </c>
      <c r="C73" s="476">
        <v>7980.9</v>
      </c>
      <c r="D73" s="476">
        <v>3.46</v>
      </c>
      <c r="E73" s="476">
        <f>C73*D73</f>
        <v>27613.913999999997</v>
      </c>
      <c r="F73" s="476">
        <v>2</v>
      </c>
      <c r="G73" s="197">
        <v>1</v>
      </c>
      <c r="H73" s="197">
        <v>18</v>
      </c>
      <c r="I73" s="197">
        <v>630</v>
      </c>
      <c r="J73" s="197" t="s">
        <v>809</v>
      </c>
    </row>
    <row r="74" spans="1:10" ht="35.1" customHeight="1" x14ac:dyDescent="0.3">
      <c r="A74" s="476"/>
      <c r="B74" s="476"/>
      <c r="C74" s="476"/>
      <c r="D74" s="476"/>
      <c r="E74" s="476"/>
      <c r="F74" s="476"/>
      <c r="G74" s="197">
        <v>1</v>
      </c>
      <c r="H74" s="197">
        <v>18</v>
      </c>
      <c r="I74" s="197">
        <v>400</v>
      </c>
      <c r="J74" s="197" t="s">
        <v>810</v>
      </c>
    </row>
    <row r="75" spans="1:10" ht="35.1" customHeight="1" x14ac:dyDescent="0.3">
      <c r="A75" s="476">
        <v>36</v>
      </c>
      <c r="B75" s="476" t="s">
        <v>698</v>
      </c>
      <c r="C75" s="476">
        <v>9140.6</v>
      </c>
      <c r="D75" s="476">
        <v>3.46</v>
      </c>
      <c r="E75" s="476">
        <f>C75*D75</f>
        <v>31626.476000000002</v>
      </c>
      <c r="F75" s="476">
        <v>2</v>
      </c>
      <c r="G75" s="197">
        <v>1</v>
      </c>
      <c r="H75" s="197">
        <v>19</v>
      </c>
      <c r="I75" s="197">
        <v>400</v>
      </c>
      <c r="J75" s="197" t="s">
        <v>811</v>
      </c>
    </row>
    <row r="76" spans="1:10" ht="35.1" customHeight="1" x14ac:dyDescent="0.3">
      <c r="A76" s="476"/>
      <c r="B76" s="476"/>
      <c r="C76" s="476"/>
      <c r="D76" s="476"/>
      <c r="E76" s="476"/>
      <c r="F76" s="476"/>
      <c r="G76" s="197">
        <v>1</v>
      </c>
      <c r="H76" s="197">
        <v>19</v>
      </c>
      <c r="I76" s="197">
        <v>630</v>
      </c>
      <c r="J76" s="197" t="s">
        <v>812</v>
      </c>
    </row>
  </sheetData>
  <mergeCells count="169">
    <mergeCell ref="D73:D74"/>
    <mergeCell ref="E73:E74"/>
    <mergeCell ref="D75:D76"/>
    <mergeCell ref="E75:E76"/>
    <mergeCell ref="D65:D66"/>
    <mergeCell ref="E65:E66"/>
    <mergeCell ref="D67:D68"/>
    <mergeCell ref="E67:E68"/>
    <mergeCell ref="D69:D70"/>
    <mergeCell ref="E69:E70"/>
    <mergeCell ref="D31:D32"/>
    <mergeCell ref="E31:E32"/>
    <mergeCell ref="D33:D34"/>
    <mergeCell ref="E33:E34"/>
    <mergeCell ref="D35:D36"/>
    <mergeCell ref="E35:E36"/>
    <mergeCell ref="D53:D54"/>
    <mergeCell ref="E53:E54"/>
    <mergeCell ref="D55:D56"/>
    <mergeCell ref="E55:E56"/>
    <mergeCell ref="D47:D48"/>
    <mergeCell ref="E47:E48"/>
    <mergeCell ref="D49:D50"/>
    <mergeCell ref="E49:E50"/>
    <mergeCell ref="D51:D52"/>
    <mergeCell ref="E51:E52"/>
    <mergeCell ref="D24:D25"/>
    <mergeCell ref="E24:E25"/>
    <mergeCell ref="D27:D28"/>
    <mergeCell ref="E27:E28"/>
    <mergeCell ref="D29:D30"/>
    <mergeCell ref="E29:E30"/>
    <mergeCell ref="D18:D19"/>
    <mergeCell ref="E18:E19"/>
    <mergeCell ref="D20:D21"/>
    <mergeCell ref="E20:E21"/>
    <mergeCell ref="D22:D23"/>
    <mergeCell ref="E22:E23"/>
    <mergeCell ref="A75:A76"/>
    <mergeCell ref="F1:G1"/>
    <mergeCell ref="D2:D5"/>
    <mergeCell ref="E2:E5"/>
    <mergeCell ref="D6:D9"/>
    <mergeCell ref="E6:E9"/>
    <mergeCell ref="D11:D14"/>
    <mergeCell ref="E11:E14"/>
    <mergeCell ref="D15:D17"/>
    <mergeCell ref="E15:E17"/>
    <mergeCell ref="A57:A64"/>
    <mergeCell ref="A65:A66"/>
    <mergeCell ref="A67:A68"/>
    <mergeCell ref="A69:A70"/>
    <mergeCell ref="A71:A72"/>
    <mergeCell ref="A73:A74"/>
    <mergeCell ref="A43:A46"/>
    <mergeCell ref="A47:A48"/>
    <mergeCell ref="A49:A50"/>
    <mergeCell ref="A51:A52"/>
    <mergeCell ref="A53:A54"/>
    <mergeCell ref="A55:A56"/>
    <mergeCell ref="A29:A30"/>
    <mergeCell ref="A31:A32"/>
    <mergeCell ref="A33:A34"/>
    <mergeCell ref="A35:A36"/>
    <mergeCell ref="A37:A38"/>
    <mergeCell ref="A39:A42"/>
    <mergeCell ref="B75:B76"/>
    <mergeCell ref="A2:A5"/>
    <mergeCell ref="A6:A9"/>
    <mergeCell ref="A11:A14"/>
    <mergeCell ref="A15:A17"/>
    <mergeCell ref="A18:A19"/>
    <mergeCell ref="A20:A21"/>
    <mergeCell ref="A22:A23"/>
    <mergeCell ref="A24:A25"/>
    <mergeCell ref="A27:A28"/>
    <mergeCell ref="B57:B64"/>
    <mergeCell ref="B65:B66"/>
    <mergeCell ref="B67:B68"/>
    <mergeCell ref="B69:B70"/>
    <mergeCell ref="B71:B72"/>
    <mergeCell ref="B73:B74"/>
    <mergeCell ref="B43:B46"/>
    <mergeCell ref="B47:B48"/>
    <mergeCell ref="B49:B50"/>
    <mergeCell ref="B51:B52"/>
    <mergeCell ref="B53:B54"/>
    <mergeCell ref="B55:B56"/>
    <mergeCell ref="B29:B30"/>
    <mergeCell ref="B31:B32"/>
    <mergeCell ref="B33:B34"/>
    <mergeCell ref="B35:B36"/>
    <mergeCell ref="B37:B38"/>
    <mergeCell ref="B39:B42"/>
    <mergeCell ref="C75:C76"/>
    <mergeCell ref="C57:C64"/>
    <mergeCell ref="C65:C66"/>
    <mergeCell ref="C67:C68"/>
    <mergeCell ref="C69:C70"/>
    <mergeCell ref="C71:C72"/>
    <mergeCell ref="C73:C74"/>
    <mergeCell ref="C43:C46"/>
    <mergeCell ref="C47:C48"/>
    <mergeCell ref="C49:C50"/>
    <mergeCell ref="C51:C52"/>
    <mergeCell ref="C53:C54"/>
    <mergeCell ref="C55:C56"/>
    <mergeCell ref="C29:C30"/>
    <mergeCell ref="C31:C32"/>
    <mergeCell ref="C33:C34"/>
    <mergeCell ref="B2:B5"/>
    <mergeCell ref="B6:B9"/>
    <mergeCell ref="B11:B14"/>
    <mergeCell ref="B15:B17"/>
    <mergeCell ref="B18:B19"/>
    <mergeCell ref="B20:B21"/>
    <mergeCell ref="B22:B23"/>
    <mergeCell ref="B24:B25"/>
    <mergeCell ref="B27:B28"/>
    <mergeCell ref="C2:C5"/>
    <mergeCell ref="C6:C9"/>
    <mergeCell ref="C11:C14"/>
    <mergeCell ref="C15:C17"/>
    <mergeCell ref="C18:C19"/>
    <mergeCell ref="C20:C21"/>
    <mergeCell ref="C22:C23"/>
    <mergeCell ref="C24:C25"/>
    <mergeCell ref="C27:C28"/>
    <mergeCell ref="F75:F76"/>
    <mergeCell ref="F43:F46"/>
    <mergeCell ref="F47:F48"/>
    <mergeCell ref="F49:F50"/>
    <mergeCell ref="F51:F52"/>
    <mergeCell ref="F53:F54"/>
    <mergeCell ref="F55:F56"/>
    <mergeCell ref="C35:C36"/>
    <mergeCell ref="C37:C38"/>
    <mergeCell ref="C39:C42"/>
    <mergeCell ref="F57:F64"/>
    <mergeCell ref="F35:F36"/>
    <mergeCell ref="F37:F38"/>
    <mergeCell ref="F39:F42"/>
    <mergeCell ref="D37:D38"/>
    <mergeCell ref="E37:E38"/>
    <mergeCell ref="D39:D42"/>
    <mergeCell ref="E39:E42"/>
    <mergeCell ref="D43:D46"/>
    <mergeCell ref="E43:E46"/>
    <mergeCell ref="D57:D64"/>
    <mergeCell ref="E57:E64"/>
    <mergeCell ref="D71:D72"/>
    <mergeCell ref="E71:E72"/>
    <mergeCell ref="F27:F28"/>
    <mergeCell ref="F2:F5"/>
    <mergeCell ref="F6:F9"/>
    <mergeCell ref="F11:F14"/>
    <mergeCell ref="F65:F66"/>
    <mergeCell ref="F67:F68"/>
    <mergeCell ref="F69:F70"/>
    <mergeCell ref="F71:F72"/>
    <mergeCell ref="F73:F74"/>
    <mergeCell ref="F29:F30"/>
    <mergeCell ref="F31:F32"/>
    <mergeCell ref="F33:F34"/>
    <mergeCell ref="F15:F17"/>
    <mergeCell ref="F18:F19"/>
    <mergeCell ref="F20:F21"/>
    <mergeCell ref="F22:F23"/>
    <mergeCell ref="F24:F25"/>
  </mergeCells>
  <pageMargins left="0.31496062992125984" right="0.31496062992125984" top="0.35433070866141736" bottom="0.35433070866141736" header="0.31496062992125984" footer="0.31496062992125984"/>
  <pageSetup paperSize="9" scale="54" fitToHeight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P43"/>
  <sheetViews>
    <sheetView topLeftCell="A64" workbookViewId="0">
      <selection activeCell="G41" sqref="G41"/>
    </sheetView>
  </sheetViews>
  <sheetFormatPr defaultColWidth="9.33203125" defaultRowHeight="17.55" x14ac:dyDescent="0.3"/>
  <cols>
    <col min="1" max="1" width="5.33203125" style="135" customWidth="1"/>
    <col min="2" max="2" width="13.33203125" style="139" customWidth="1"/>
    <col min="3" max="3" width="22.6640625" style="135" customWidth="1"/>
    <col min="4" max="4" width="12.33203125" style="135" customWidth="1"/>
    <col min="5" max="5" width="15.6640625" style="138" customWidth="1"/>
    <col min="6" max="6" width="11.33203125" style="135" customWidth="1"/>
    <col min="7" max="7" width="13.33203125" style="134" customWidth="1"/>
    <col min="8" max="8" width="12.6640625" style="134" customWidth="1"/>
    <col min="9" max="9" width="14.33203125" style="107" customWidth="1"/>
    <col min="10" max="14" width="9.33203125" style="107"/>
    <col min="15" max="15" width="18.33203125" style="107" customWidth="1"/>
    <col min="16" max="16" width="17" style="175" customWidth="1"/>
    <col min="17" max="16384" width="9.33203125" style="107"/>
  </cols>
  <sheetData>
    <row r="1" spans="1:16" ht="15.65" x14ac:dyDescent="0.3">
      <c r="A1" s="481" t="s">
        <v>662</v>
      </c>
      <c r="B1" s="482"/>
      <c r="C1" s="482"/>
      <c r="D1" s="482"/>
      <c r="E1" s="482"/>
      <c r="F1" s="482"/>
      <c r="G1" s="483"/>
      <c r="H1" s="483"/>
      <c r="I1" s="483"/>
      <c r="J1" s="483"/>
      <c r="K1" s="483"/>
      <c r="L1" s="483"/>
      <c r="M1" s="483"/>
      <c r="N1" s="483"/>
      <c r="O1" s="483"/>
      <c r="P1" s="483"/>
    </row>
    <row r="2" spans="1:16" s="171" customFormat="1" ht="50.1" customHeight="1" x14ac:dyDescent="0.3">
      <c r="A2" s="489" t="s">
        <v>76</v>
      </c>
      <c r="B2" s="491" t="s">
        <v>666</v>
      </c>
      <c r="C2" s="492" t="s">
        <v>65</v>
      </c>
      <c r="D2" s="492"/>
      <c r="E2" s="490" t="s">
        <v>77</v>
      </c>
      <c r="F2" s="489" t="s">
        <v>21</v>
      </c>
      <c r="G2" s="489" t="s">
        <v>23</v>
      </c>
      <c r="H2" s="489" t="s">
        <v>326</v>
      </c>
      <c r="I2" s="484" t="s">
        <v>739</v>
      </c>
      <c r="J2" s="485"/>
      <c r="K2" s="488" t="s">
        <v>737</v>
      </c>
      <c r="L2" s="488"/>
      <c r="M2" s="488"/>
      <c r="N2" s="488"/>
      <c r="O2" s="486" t="s">
        <v>734</v>
      </c>
      <c r="P2" s="486" t="s">
        <v>736</v>
      </c>
    </row>
    <row r="3" spans="1:16" s="171" customFormat="1" ht="50.1" customHeight="1" x14ac:dyDescent="0.3">
      <c r="A3" s="489"/>
      <c r="B3" s="491"/>
      <c r="C3" s="172" t="s">
        <v>26</v>
      </c>
      <c r="D3" s="172" t="s">
        <v>27</v>
      </c>
      <c r="E3" s="490"/>
      <c r="F3" s="489"/>
      <c r="G3" s="489"/>
      <c r="H3" s="489"/>
      <c r="I3" s="170" t="s">
        <v>83</v>
      </c>
      <c r="J3" s="176" t="s">
        <v>735</v>
      </c>
      <c r="K3" s="177">
        <v>43770</v>
      </c>
      <c r="L3" s="177">
        <v>44136</v>
      </c>
      <c r="M3" s="177">
        <v>43800</v>
      </c>
      <c r="N3" s="177">
        <v>44166</v>
      </c>
      <c r="O3" s="487"/>
      <c r="P3" s="487"/>
    </row>
    <row r="4" spans="1:16" ht="50.1" customHeight="1" x14ac:dyDescent="0.3">
      <c r="A4" s="143">
        <v>1</v>
      </c>
      <c r="B4" s="173" t="s">
        <v>31</v>
      </c>
      <c r="C4" s="144" t="s">
        <v>29</v>
      </c>
      <c r="D4" s="143" t="s">
        <v>30</v>
      </c>
      <c r="E4" s="145">
        <v>39048</v>
      </c>
      <c r="F4" s="143">
        <v>9</v>
      </c>
      <c r="G4" s="50" t="s">
        <v>32</v>
      </c>
      <c r="H4" s="148" t="s">
        <v>738</v>
      </c>
      <c r="I4" s="50">
        <v>2006</v>
      </c>
      <c r="J4" s="106">
        <v>1</v>
      </c>
      <c r="K4" s="106"/>
      <c r="L4" s="106"/>
      <c r="M4" s="106"/>
      <c r="N4" s="106"/>
      <c r="O4" s="108" t="s">
        <v>58</v>
      </c>
      <c r="P4" s="143" t="s">
        <v>333</v>
      </c>
    </row>
    <row r="5" spans="1:16" ht="50.1" customHeight="1" x14ac:dyDescent="0.3">
      <c r="A5" s="143">
        <v>2</v>
      </c>
      <c r="B5" s="173" t="s">
        <v>36</v>
      </c>
      <c r="C5" s="144" t="s">
        <v>29</v>
      </c>
      <c r="D5" s="143" t="s">
        <v>35</v>
      </c>
      <c r="E5" s="145">
        <v>39437</v>
      </c>
      <c r="F5" s="143">
        <v>9</v>
      </c>
      <c r="G5" s="50" t="s">
        <v>41</v>
      </c>
      <c r="H5" s="148" t="s">
        <v>738</v>
      </c>
      <c r="I5" s="50">
        <v>2007</v>
      </c>
      <c r="J5" s="106">
        <v>1</v>
      </c>
      <c r="K5" s="106"/>
      <c r="L5" s="106"/>
      <c r="M5" s="106"/>
      <c r="N5" s="106"/>
      <c r="O5" s="108" t="s">
        <v>58</v>
      </c>
      <c r="P5" s="143" t="s">
        <v>333</v>
      </c>
    </row>
    <row r="6" spans="1:16" ht="50.1" customHeight="1" x14ac:dyDescent="0.3">
      <c r="A6" s="143">
        <v>3</v>
      </c>
      <c r="B6" s="173" t="s">
        <v>1</v>
      </c>
      <c r="C6" s="144" t="s">
        <v>37</v>
      </c>
      <c r="D6" s="143">
        <v>5</v>
      </c>
      <c r="E6" s="145">
        <v>39849</v>
      </c>
      <c r="F6" s="143">
        <v>10</v>
      </c>
      <c r="G6" s="50" t="s">
        <v>38</v>
      </c>
      <c r="H6" s="148" t="s">
        <v>738</v>
      </c>
      <c r="I6" s="50">
        <v>2009</v>
      </c>
      <c r="J6" s="106">
        <v>1</v>
      </c>
      <c r="K6" s="106"/>
      <c r="L6" s="106"/>
      <c r="M6" s="106"/>
      <c r="N6" s="106"/>
      <c r="O6" s="108" t="s">
        <v>58</v>
      </c>
      <c r="P6" s="143" t="s">
        <v>333</v>
      </c>
    </row>
    <row r="7" spans="1:16" ht="50.1" customHeight="1" x14ac:dyDescent="0.3">
      <c r="A7" s="143">
        <v>4</v>
      </c>
      <c r="B7" s="173" t="s">
        <v>40</v>
      </c>
      <c r="C7" s="144" t="s">
        <v>39</v>
      </c>
      <c r="D7" s="143">
        <v>51</v>
      </c>
      <c r="E7" s="145">
        <v>40329</v>
      </c>
      <c r="F7" s="143">
        <v>12</v>
      </c>
      <c r="G7" s="50" t="s">
        <v>41</v>
      </c>
      <c r="H7" s="148" t="s">
        <v>738</v>
      </c>
      <c r="I7" s="50">
        <v>2010</v>
      </c>
      <c r="J7" s="106">
        <v>1</v>
      </c>
      <c r="K7" s="106"/>
      <c r="L7" s="106"/>
      <c r="M7" s="106"/>
      <c r="N7" s="106"/>
      <c r="O7" s="108" t="s">
        <v>58</v>
      </c>
      <c r="P7" s="143" t="s">
        <v>333</v>
      </c>
    </row>
    <row r="8" spans="1:16" ht="50.1" customHeight="1" x14ac:dyDescent="0.3">
      <c r="A8" s="143">
        <v>5</v>
      </c>
      <c r="B8" s="173" t="s">
        <v>0</v>
      </c>
      <c r="C8" s="144" t="s">
        <v>42</v>
      </c>
      <c r="D8" s="143">
        <v>8</v>
      </c>
      <c r="E8" s="145">
        <v>40618</v>
      </c>
      <c r="F8" s="143">
        <v>10</v>
      </c>
      <c r="G8" s="50" t="s">
        <v>41</v>
      </c>
      <c r="H8" s="148" t="s">
        <v>738</v>
      </c>
      <c r="I8" s="50">
        <v>2011</v>
      </c>
      <c r="J8" s="106">
        <v>1</v>
      </c>
      <c r="K8" s="106"/>
      <c r="L8" s="106"/>
      <c r="M8" s="106"/>
      <c r="N8" s="106"/>
      <c r="O8" s="108" t="s">
        <v>58</v>
      </c>
      <c r="P8" s="143" t="s">
        <v>333</v>
      </c>
    </row>
    <row r="9" spans="1:16" ht="50.1" customHeight="1" x14ac:dyDescent="0.3">
      <c r="A9" s="143">
        <v>6</v>
      </c>
      <c r="B9" s="173" t="s">
        <v>3</v>
      </c>
      <c r="C9" s="144" t="s">
        <v>44</v>
      </c>
      <c r="D9" s="143">
        <v>87</v>
      </c>
      <c r="E9" s="145">
        <v>40847</v>
      </c>
      <c r="F9" s="143">
        <v>10</v>
      </c>
      <c r="G9" s="50" t="s">
        <v>38</v>
      </c>
      <c r="H9" s="148" t="s">
        <v>738</v>
      </c>
      <c r="I9" s="50">
        <v>2012</v>
      </c>
      <c r="J9" s="106">
        <v>1</v>
      </c>
      <c r="K9" s="106"/>
      <c r="L9" s="106"/>
      <c r="M9" s="106"/>
      <c r="N9" s="106"/>
      <c r="O9" s="108" t="s">
        <v>58</v>
      </c>
      <c r="P9" s="143" t="s">
        <v>333</v>
      </c>
    </row>
    <row r="10" spans="1:16" ht="50.1" customHeight="1" x14ac:dyDescent="0.3">
      <c r="A10" s="143">
        <v>7</v>
      </c>
      <c r="B10" s="173" t="s">
        <v>4</v>
      </c>
      <c r="C10" s="144" t="s">
        <v>43</v>
      </c>
      <c r="D10" s="143">
        <v>19</v>
      </c>
      <c r="E10" s="145">
        <v>40847</v>
      </c>
      <c r="F10" s="149">
        <v>10</v>
      </c>
      <c r="G10" s="50" t="s">
        <v>41</v>
      </c>
      <c r="H10" s="148" t="s">
        <v>738</v>
      </c>
      <c r="I10" s="50">
        <v>2011</v>
      </c>
      <c r="J10" s="106">
        <v>1</v>
      </c>
      <c r="K10" s="106"/>
      <c r="L10" s="106"/>
      <c r="M10" s="106"/>
      <c r="N10" s="106"/>
      <c r="O10" s="108" t="s">
        <v>58</v>
      </c>
      <c r="P10" s="143" t="s">
        <v>333</v>
      </c>
    </row>
    <row r="11" spans="1:16" ht="50.1" customHeight="1" x14ac:dyDescent="0.3">
      <c r="A11" s="143">
        <v>8</v>
      </c>
      <c r="B11" s="173" t="s">
        <v>47</v>
      </c>
      <c r="C11" s="144" t="s">
        <v>45</v>
      </c>
      <c r="D11" s="143" t="s">
        <v>46</v>
      </c>
      <c r="E11" s="145">
        <v>41421</v>
      </c>
      <c r="F11" s="143" t="s">
        <v>9</v>
      </c>
      <c r="G11" s="50" t="s">
        <v>41</v>
      </c>
      <c r="H11" s="148" t="s">
        <v>738</v>
      </c>
      <c r="I11" s="50">
        <v>2013</v>
      </c>
      <c r="J11" s="106">
        <v>1</v>
      </c>
      <c r="K11" s="106"/>
      <c r="L11" s="106"/>
      <c r="M11" s="106"/>
      <c r="N11" s="106"/>
      <c r="O11" s="108" t="s">
        <v>58</v>
      </c>
      <c r="P11" s="143" t="s">
        <v>333</v>
      </c>
    </row>
    <row r="12" spans="1:16" ht="50.1" customHeight="1" x14ac:dyDescent="0.3">
      <c r="A12" s="143">
        <v>9</v>
      </c>
      <c r="B12" s="173" t="s">
        <v>6</v>
      </c>
      <c r="C12" s="144" t="s">
        <v>48</v>
      </c>
      <c r="D12" s="143">
        <v>67</v>
      </c>
      <c r="E12" s="145">
        <v>41507</v>
      </c>
      <c r="F12" s="143" t="s">
        <v>49</v>
      </c>
      <c r="G12" s="50" t="s">
        <v>41</v>
      </c>
      <c r="H12" s="148" t="s">
        <v>738</v>
      </c>
      <c r="I12" s="50">
        <v>2013</v>
      </c>
      <c r="J12" s="106">
        <v>1</v>
      </c>
      <c r="K12" s="106"/>
      <c r="L12" s="106"/>
      <c r="M12" s="106"/>
      <c r="N12" s="106"/>
      <c r="O12" s="108" t="s">
        <v>58</v>
      </c>
      <c r="P12" s="143" t="s">
        <v>333</v>
      </c>
    </row>
    <row r="13" spans="1:16" ht="50.1" customHeight="1" x14ac:dyDescent="0.3">
      <c r="A13" s="143">
        <v>10</v>
      </c>
      <c r="B13" s="173" t="s">
        <v>59</v>
      </c>
      <c r="C13" s="144" t="s">
        <v>44</v>
      </c>
      <c r="D13" s="143" t="s">
        <v>60</v>
      </c>
      <c r="E13" s="145">
        <v>41603</v>
      </c>
      <c r="F13" s="143" t="s">
        <v>61</v>
      </c>
      <c r="G13" s="50" t="s">
        <v>41</v>
      </c>
      <c r="H13" s="148" t="s">
        <v>738</v>
      </c>
      <c r="I13" s="50">
        <v>2013</v>
      </c>
      <c r="J13" s="106">
        <v>1</v>
      </c>
      <c r="K13" s="106"/>
      <c r="L13" s="106"/>
      <c r="M13" s="106"/>
      <c r="N13" s="106"/>
      <c r="O13" s="108" t="s">
        <v>58</v>
      </c>
      <c r="P13" s="143" t="s">
        <v>333</v>
      </c>
    </row>
    <row r="14" spans="1:16" ht="50.1" customHeight="1" x14ac:dyDescent="0.3">
      <c r="A14" s="143">
        <v>11</v>
      </c>
      <c r="B14" s="173" t="s">
        <v>68</v>
      </c>
      <c r="C14" s="144" t="s">
        <v>42</v>
      </c>
      <c r="D14" s="143">
        <v>10</v>
      </c>
      <c r="E14" s="145">
        <v>41687</v>
      </c>
      <c r="F14" s="143">
        <v>17</v>
      </c>
      <c r="G14" s="50" t="s">
        <v>41</v>
      </c>
      <c r="H14" s="148" t="s">
        <v>738</v>
      </c>
      <c r="I14" s="50">
        <v>2013</v>
      </c>
      <c r="J14" s="106">
        <v>1</v>
      </c>
      <c r="K14" s="106"/>
      <c r="L14" s="106"/>
      <c r="M14" s="106"/>
      <c r="N14" s="106"/>
      <c r="O14" s="108" t="s">
        <v>58</v>
      </c>
      <c r="P14" s="149" t="s">
        <v>333</v>
      </c>
    </row>
    <row r="15" spans="1:16" ht="50.1" customHeight="1" x14ac:dyDescent="0.3">
      <c r="A15" s="143">
        <v>12</v>
      </c>
      <c r="B15" s="173" t="s">
        <v>274</v>
      </c>
      <c r="C15" s="144" t="s">
        <v>278</v>
      </c>
      <c r="D15" s="143">
        <v>76</v>
      </c>
      <c r="E15" s="145">
        <v>41991</v>
      </c>
      <c r="F15" s="143" t="s">
        <v>280</v>
      </c>
      <c r="G15" s="50" t="s">
        <v>41</v>
      </c>
      <c r="H15" s="148" t="s">
        <v>738</v>
      </c>
      <c r="I15" s="50">
        <v>2014</v>
      </c>
      <c r="J15" s="106">
        <v>1</v>
      </c>
      <c r="K15" s="106"/>
      <c r="L15" s="106"/>
      <c r="M15" s="106"/>
      <c r="N15" s="106"/>
      <c r="O15" s="108" t="s">
        <v>58</v>
      </c>
      <c r="P15" s="149" t="s">
        <v>399</v>
      </c>
    </row>
    <row r="16" spans="1:16" ht="50.1" customHeight="1" x14ac:dyDescent="0.3">
      <c r="A16" s="143">
        <v>13</v>
      </c>
      <c r="B16" s="173" t="s">
        <v>275</v>
      </c>
      <c r="C16" s="144" t="s">
        <v>278</v>
      </c>
      <c r="D16" s="143" t="s">
        <v>279</v>
      </c>
      <c r="E16" s="145">
        <v>41991</v>
      </c>
      <c r="F16" s="143" t="s">
        <v>280</v>
      </c>
      <c r="G16" s="50" t="s">
        <v>41</v>
      </c>
      <c r="H16" s="148" t="s">
        <v>738</v>
      </c>
      <c r="I16" s="50">
        <v>2014</v>
      </c>
      <c r="J16" s="106">
        <v>1</v>
      </c>
      <c r="K16" s="106"/>
      <c r="L16" s="106"/>
      <c r="M16" s="106"/>
      <c r="N16" s="106"/>
      <c r="O16" s="108" t="s">
        <v>58</v>
      </c>
      <c r="P16" s="149" t="s">
        <v>399</v>
      </c>
    </row>
    <row r="17" spans="1:16" ht="50.1" customHeight="1" x14ac:dyDescent="0.3">
      <c r="A17" s="143">
        <v>14</v>
      </c>
      <c r="B17" s="173" t="s">
        <v>276</v>
      </c>
      <c r="C17" s="144" t="s">
        <v>310</v>
      </c>
      <c r="D17" s="143" t="s">
        <v>311</v>
      </c>
      <c r="E17" s="145">
        <v>42009</v>
      </c>
      <c r="F17" s="143">
        <v>17</v>
      </c>
      <c r="G17" s="50" t="s">
        <v>41</v>
      </c>
      <c r="H17" s="148" t="s">
        <v>738</v>
      </c>
      <c r="I17" s="50">
        <v>2015</v>
      </c>
      <c r="J17" s="106">
        <v>1</v>
      </c>
      <c r="K17" s="106"/>
      <c r="L17" s="106"/>
      <c r="M17" s="106"/>
      <c r="N17" s="106"/>
      <c r="O17" s="108">
        <v>1</v>
      </c>
      <c r="P17" s="149" t="s">
        <v>333</v>
      </c>
    </row>
    <row r="18" spans="1:16" ht="50.1" customHeight="1" x14ac:dyDescent="0.3">
      <c r="A18" s="143">
        <v>15</v>
      </c>
      <c r="B18" s="173" t="s">
        <v>277</v>
      </c>
      <c r="C18" s="144" t="s">
        <v>320</v>
      </c>
      <c r="D18" s="143">
        <v>28</v>
      </c>
      <c r="E18" s="145">
        <v>42088</v>
      </c>
      <c r="F18" s="143">
        <v>17</v>
      </c>
      <c r="G18" s="50" t="s">
        <v>41</v>
      </c>
      <c r="H18" s="148" t="s">
        <v>738</v>
      </c>
      <c r="I18" s="50">
        <v>2015</v>
      </c>
      <c r="J18" s="106">
        <v>1</v>
      </c>
      <c r="K18" s="106"/>
      <c r="L18" s="106"/>
      <c r="M18" s="106"/>
      <c r="N18" s="106"/>
      <c r="O18" s="108">
        <v>1</v>
      </c>
      <c r="P18" s="149" t="s">
        <v>333</v>
      </c>
    </row>
    <row r="19" spans="1:16" ht="50.1" customHeight="1" x14ac:dyDescent="0.3">
      <c r="A19" s="143">
        <v>16</v>
      </c>
      <c r="B19" s="173" t="s">
        <v>369</v>
      </c>
      <c r="C19" s="144" t="s">
        <v>320</v>
      </c>
      <c r="D19" s="143" t="s">
        <v>370</v>
      </c>
      <c r="E19" s="145">
        <v>42291</v>
      </c>
      <c r="F19" s="143" t="s">
        <v>371</v>
      </c>
      <c r="G19" s="50" t="s">
        <v>41</v>
      </c>
      <c r="H19" s="148" t="s">
        <v>738</v>
      </c>
      <c r="I19" s="50">
        <v>2015</v>
      </c>
      <c r="J19" s="106">
        <v>1</v>
      </c>
      <c r="K19" s="106"/>
      <c r="L19" s="106"/>
      <c r="M19" s="106"/>
      <c r="N19" s="106"/>
      <c r="O19" s="108">
        <v>1</v>
      </c>
      <c r="P19" s="149" t="s">
        <v>333</v>
      </c>
    </row>
    <row r="20" spans="1:16" ht="50.1" customHeight="1" x14ac:dyDescent="0.3">
      <c r="A20" s="143">
        <v>17</v>
      </c>
      <c r="B20" s="173" t="s">
        <v>412</v>
      </c>
      <c r="C20" s="144" t="s">
        <v>413</v>
      </c>
      <c r="D20" s="143">
        <v>18</v>
      </c>
      <c r="E20" s="145">
        <v>42643</v>
      </c>
      <c r="F20" s="143" t="s">
        <v>416</v>
      </c>
      <c r="G20" s="50" t="s">
        <v>41</v>
      </c>
      <c r="H20" s="148" t="s">
        <v>738</v>
      </c>
      <c r="I20" s="50">
        <v>2016</v>
      </c>
      <c r="J20" s="106">
        <v>1</v>
      </c>
      <c r="K20" s="106"/>
      <c r="L20" s="106"/>
      <c r="M20" s="106"/>
      <c r="N20" s="106"/>
      <c r="O20" s="108">
        <v>1</v>
      </c>
      <c r="P20" s="149"/>
    </row>
    <row r="21" spans="1:16" ht="50.1" customHeight="1" x14ac:dyDescent="0.3">
      <c r="A21" s="143">
        <v>18</v>
      </c>
      <c r="B21" s="173" t="s">
        <v>421</v>
      </c>
      <c r="C21" s="144" t="s">
        <v>424</v>
      </c>
      <c r="D21" s="143">
        <v>21</v>
      </c>
      <c r="E21" s="145">
        <v>42699</v>
      </c>
      <c r="F21" s="143">
        <v>17</v>
      </c>
      <c r="G21" s="50" t="s">
        <v>41</v>
      </c>
      <c r="H21" s="148" t="s">
        <v>738</v>
      </c>
      <c r="I21" s="50">
        <v>2016</v>
      </c>
      <c r="J21" s="106">
        <v>1</v>
      </c>
      <c r="K21" s="106"/>
      <c r="L21" s="106"/>
      <c r="M21" s="106"/>
      <c r="N21" s="106"/>
      <c r="O21" s="108">
        <v>1</v>
      </c>
      <c r="P21" s="149" t="s">
        <v>333</v>
      </c>
    </row>
    <row r="22" spans="1:16" ht="50.1" customHeight="1" x14ac:dyDescent="0.3">
      <c r="A22" s="143">
        <v>19</v>
      </c>
      <c r="B22" s="173" t="s">
        <v>422</v>
      </c>
      <c r="C22" s="144" t="s">
        <v>425</v>
      </c>
      <c r="D22" s="143">
        <v>11</v>
      </c>
      <c r="E22" s="145">
        <v>42732</v>
      </c>
      <c r="F22" s="143">
        <v>10</v>
      </c>
      <c r="G22" s="50" t="s">
        <v>41</v>
      </c>
      <c r="H22" s="148" t="s">
        <v>738</v>
      </c>
      <c r="I22" s="50">
        <v>2016</v>
      </c>
      <c r="J22" s="106">
        <v>1</v>
      </c>
      <c r="K22" s="106"/>
      <c r="L22" s="106"/>
      <c r="M22" s="106"/>
      <c r="N22" s="106"/>
      <c r="O22" s="108">
        <v>1</v>
      </c>
      <c r="P22" s="149"/>
    </row>
    <row r="23" spans="1:16" ht="50.1" customHeight="1" x14ac:dyDescent="0.3">
      <c r="A23" s="143">
        <v>20</v>
      </c>
      <c r="B23" s="173" t="s">
        <v>446</v>
      </c>
      <c r="C23" s="144" t="s">
        <v>447</v>
      </c>
      <c r="D23" s="143" t="s">
        <v>448</v>
      </c>
      <c r="E23" s="145">
        <v>42734</v>
      </c>
      <c r="F23" s="143" t="s">
        <v>460</v>
      </c>
      <c r="G23" s="50" t="s">
        <v>41</v>
      </c>
      <c r="H23" s="148" t="s">
        <v>738</v>
      </c>
      <c r="I23" s="50">
        <v>2016</v>
      </c>
      <c r="J23" s="106">
        <v>1</v>
      </c>
      <c r="K23" s="106"/>
      <c r="L23" s="106"/>
      <c r="M23" s="106"/>
      <c r="N23" s="106"/>
      <c r="O23" s="108">
        <v>1</v>
      </c>
      <c r="P23" s="149"/>
    </row>
    <row r="24" spans="1:16" ht="50.1" customHeight="1" x14ac:dyDescent="0.3">
      <c r="A24" s="143">
        <v>21</v>
      </c>
      <c r="B24" s="173" t="s">
        <v>451</v>
      </c>
      <c r="C24" s="144" t="s">
        <v>447</v>
      </c>
      <c r="D24" s="143" t="s">
        <v>452</v>
      </c>
      <c r="E24" s="145">
        <v>42816</v>
      </c>
      <c r="F24" s="143" t="s">
        <v>460</v>
      </c>
      <c r="G24" s="50" t="s">
        <v>41</v>
      </c>
      <c r="H24" s="148" t="s">
        <v>738</v>
      </c>
      <c r="I24" s="50">
        <v>2017</v>
      </c>
      <c r="J24" s="106">
        <v>1</v>
      </c>
      <c r="K24" s="106"/>
      <c r="L24" s="106"/>
      <c r="M24" s="106"/>
      <c r="N24" s="106"/>
      <c r="O24" s="108">
        <v>1</v>
      </c>
      <c r="P24" s="149"/>
    </row>
    <row r="25" spans="1:16" ht="50.1" customHeight="1" x14ac:dyDescent="0.3">
      <c r="A25" s="143">
        <v>22</v>
      </c>
      <c r="B25" s="173" t="s">
        <v>454</v>
      </c>
      <c r="C25" s="144" t="s">
        <v>447</v>
      </c>
      <c r="D25" s="143" t="s">
        <v>46</v>
      </c>
      <c r="E25" s="145">
        <v>43004</v>
      </c>
      <c r="F25" s="143" t="s">
        <v>460</v>
      </c>
      <c r="G25" s="50" t="s">
        <v>41</v>
      </c>
      <c r="H25" s="148" t="s">
        <v>738</v>
      </c>
      <c r="I25" s="50">
        <v>2017</v>
      </c>
      <c r="J25" s="106">
        <v>1</v>
      </c>
      <c r="K25" s="106"/>
      <c r="L25" s="106"/>
      <c r="M25" s="106"/>
      <c r="N25" s="106"/>
      <c r="O25" s="108">
        <v>1</v>
      </c>
      <c r="P25" s="149"/>
    </row>
    <row r="26" spans="1:16" ht="50.1" customHeight="1" x14ac:dyDescent="0.3">
      <c r="A26" s="143">
        <v>23</v>
      </c>
      <c r="B26" s="173" t="s">
        <v>465</v>
      </c>
      <c r="C26" s="144" t="s">
        <v>447</v>
      </c>
      <c r="D26" s="143" t="s">
        <v>456</v>
      </c>
      <c r="E26" s="145">
        <v>43097</v>
      </c>
      <c r="F26" s="143" t="s">
        <v>523</v>
      </c>
      <c r="G26" s="50" t="s">
        <v>41</v>
      </c>
      <c r="H26" s="148" t="s">
        <v>738</v>
      </c>
      <c r="I26" s="50">
        <v>2017</v>
      </c>
      <c r="J26" s="106">
        <v>1</v>
      </c>
      <c r="K26" s="106"/>
      <c r="L26" s="106"/>
      <c r="M26" s="106"/>
      <c r="N26" s="106"/>
      <c r="O26" s="108">
        <v>1</v>
      </c>
      <c r="P26" s="149"/>
    </row>
    <row r="27" spans="1:16" ht="50.1" customHeight="1" x14ac:dyDescent="0.3">
      <c r="A27" s="143">
        <v>24</v>
      </c>
      <c r="B27" s="173" t="s">
        <v>457</v>
      </c>
      <c r="C27" s="144" t="s">
        <v>425</v>
      </c>
      <c r="D27" s="143">
        <v>13</v>
      </c>
      <c r="E27" s="145">
        <v>43157</v>
      </c>
      <c r="F27" s="143" t="s">
        <v>524</v>
      </c>
      <c r="G27" s="50" t="s">
        <v>41</v>
      </c>
      <c r="H27" s="148" t="s">
        <v>738</v>
      </c>
      <c r="I27" s="50">
        <v>2017</v>
      </c>
      <c r="J27" s="106">
        <v>1</v>
      </c>
      <c r="K27" s="106"/>
      <c r="L27" s="106"/>
      <c r="M27" s="106"/>
      <c r="N27" s="106"/>
      <c r="O27" s="108">
        <v>1</v>
      </c>
      <c r="P27" s="149"/>
    </row>
    <row r="28" spans="1:16" ht="50.1" customHeight="1" x14ac:dyDescent="0.3">
      <c r="A28" s="143">
        <v>25</v>
      </c>
      <c r="B28" s="173" t="s">
        <v>466</v>
      </c>
      <c r="C28" s="144" t="s">
        <v>425</v>
      </c>
      <c r="D28" s="143">
        <v>15</v>
      </c>
      <c r="E28" s="145">
        <v>43217</v>
      </c>
      <c r="F28" s="143" t="s">
        <v>525</v>
      </c>
      <c r="G28" s="50" t="s">
        <v>41</v>
      </c>
      <c r="H28" s="148" t="s">
        <v>738</v>
      </c>
      <c r="I28" s="50">
        <v>2018</v>
      </c>
      <c r="J28" s="106">
        <v>1</v>
      </c>
      <c r="K28" s="106"/>
      <c r="L28" s="106"/>
      <c r="M28" s="106"/>
      <c r="N28" s="106"/>
      <c r="O28" s="108">
        <v>1</v>
      </c>
      <c r="P28" s="169"/>
    </row>
    <row r="29" spans="1:16" ht="50.1" customHeight="1" x14ac:dyDescent="0.3">
      <c r="A29" s="143">
        <v>26</v>
      </c>
      <c r="B29" s="173" t="s">
        <v>562</v>
      </c>
      <c r="C29" s="144" t="s">
        <v>39</v>
      </c>
      <c r="D29" s="143">
        <v>48</v>
      </c>
      <c r="E29" s="145">
        <v>43427</v>
      </c>
      <c r="F29" s="143">
        <v>17</v>
      </c>
      <c r="G29" s="50" t="s">
        <v>41</v>
      </c>
      <c r="H29" s="148" t="s">
        <v>738</v>
      </c>
      <c r="I29" s="50">
        <v>2018</v>
      </c>
      <c r="J29" s="106">
        <v>1</v>
      </c>
      <c r="K29" s="106"/>
      <c r="L29" s="106"/>
      <c r="M29" s="106"/>
      <c r="N29" s="106"/>
      <c r="O29" s="108">
        <v>1</v>
      </c>
      <c r="P29" s="169"/>
    </row>
    <row r="30" spans="1:16" ht="50.1" customHeight="1" x14ac:dyDescent="0.3">
      <c r="A30" s="143">
        <v>27</v>
      </c>
      <c r="B30" s="173" t="s">
        <v>563</v>
      </c>
      <c r="C30" s="144" t="s">
        <v>424</v>
      </c>
      <c r="D30" s="143">
        <v>3</v>
      </c>
      <c r="E30" s="145">
        <v>43459</v>
      </c>
      <c r="F30" s="143">
        <v>17</v>
      </c>
      <c r="G30" s="50" t="s">
        <v>569</v>
      </c>
      <c r="H30" s="148" t="s">
        <v>738</v>
      </c>
      <c r="I30" s="50">
        <v>2018</v>
      </c>
      <c r="J30" s="106">
        <v>1</v>
      </c>
      <c r="K30" s="106"/>
      <c r="L30" s="106"/>
      <c r="M30" s="106"/>
      <c r="N30" s="106"/>
      <c r="O30" s="108">
        <v>1</v>
      </c>
      <c r="P30" s="149"/>
    </row>
    <row r="31" spans="1:16" ht="50.1" customHeight="1" x14ac:dyDescent="0.3">
      <c r="A31" s="143">
        <v>28</v>
      </c>
      <c r="B31" s="173" t="s">
        <v>618</v>
      </c>
      <c r="C31" s="144" t="s">
        <v>413</v>
      </c>
      <c r="D31" s="143">
        <v>14</v>
      </c>
      <c r="E31" s="145">
        <v>43601</v>
      </c>
      <c r="F31" s="143">
        <v>19</v>
      </c>
      <c r="G31" s="50" t="s">
        <v>620</v>
      </c>
      <c r="H31" s="148" t="s">
        <v>738</v>
      </c>
      <c r="I31" s="50">
        <v>2019</v>
      </c>
      <c r="J31" s="106">
        <v>1</v>
      </c>
      <c r="K31" s="106"/>
      <c r="L31" s="106"/>
      <c r="M31" s="106"/>
      <c r="N31" s="106"/>
      <c r="O31" s="108">
        <v>1</v>
      </c>
      <c r="P31" s="149"/>
    </row>
    <row r="32" spans="1:16" ht="50.1" customHeight="1" x14ac:dyDescent="0.3">
      <c r="A32" s="143">
        <v>29</v>
      </c>
      <c r="B32" s="173" t="s">
        <v>638</v>
      </c>
      <c r="C32" s="144" t="s">
        <v>640</v>
      </c>
      <c r="D32" s="143">
        <v>32</v>
      </c>
      <c r="E32" s="145">
        <v>43784</v>
      </c>
      <c r="F32" s="143" t="s">
        <v>652</v>
      </c>
      <c r="G32" s="50" t="s">
        <v>740</v>
      </c>
      <c r="H32" s="148" t="s">
        <v>738</v>
      </c>
      <c r="I32" s="50"/>
      <c r="J32" s="106"/>
      <c r="K32" s="106"/>
      <c r="L32" s="106"/>
      <c r="M32" s="106"/>
      <c r="N32" s="106"/>
      <c r="O32" s="108">
        <v>1</v>
      </c>
      <c r="P32" s="149" t="s">
        <v>674</v>
      </c>
    </row>
    <row r="33" spans="1:16" ht="50.1" customHeight="1" x14ac:dyDescent="0.3">
      <c r="A33" s="143">
        <v>30</v>
      </c>
      <c r="B33" s="173" t="s">
        <v>639</v>
      </c>
      <c r="C33" s="144" t="s">
        <v>39</v>
      </c>
      <c r="D33" s="143" t="s">
        <v>641</v>
      </c>
      <c r="E33" s="145">
        <v>43794</v>
      </c>
      <c r="F33" s="143">
        <v>18</v>
      </c>
      <c r="G33" s="50" t="s">
        <v>620</v>
      </c>
      <c r="H33" s="148" t="s">
        <v>738</v>
      </c>
      <c r="I33" s="50"/>
      <c r="J33" s="106">
        <v>1</v>
      </c>
      <c r="K33" s="106"/>
      <c r="L33" s="106"/>
      <c r="M33" s="106"/>
      <c r="N33" s="106"/>
      <c r="O33" s="108">
        <v>1</v>
      </c>
      <c r="P33" s="149" t="s">
        <v>399</v>
      </c>
    </row>
    <row r="34" spans="1:16" s="159" customFormat="1" ht="50.1" customHeight="1" x14ac:dyDescent="0.3">
      <c r="A34" s="143">
        <v>31</v>
      </c>
      <c r="B34" s="174" t="s">
        <v>633</v>
      </c>
      <c r="C34" s="143" t="s">
        <v>447</v>
      </c>
      <c r="D34" s="143" t="s">
        <v>35</v>
      </c>
      <c r="E34" s="150">
        <v>43795</v>
      </c>
      <c r="F34" s="143" t="s">
        <v>653</v>
      </c>
      <c r="G34" s="50" t="s">
        <v>741</v>
      </c>
      <c r="H34" s="148" t="s">
        <v>738</v>
      </c>
      <c r="I34" s="52"/>
      <c r="J34" s="106">
        <v>1</v>
      </c>
      <c r="K34" s="106"/>
      <c r="L34" s="106"/>
      <c r="M34" s="106"/>
      <c r="N34" s="106"/>
      <c r="O34" s="108">
        <v>1</v>
      </c>
      <c r="P34" s="149"/>
    </row>
    <row r="35" spans="1:16" ht="50.1" customHeight="1" x14ac:dyDescent="0.3">
      <c r="A35" s="143">
        <v>32</v>
      </c>
      <c r="B35" s="173" t="s">
        <v>642</v>
      </c>
      <c r="C35" s="144" t="s">
        <v>413</v>
      </c>
      <c r="D35" s="143">
        <v>16</v>
      </c>
      <c r="E35" s="145">
        <v>43811</v>
      </c>
      <c r="F35" s="143">
        <v>18</v>
      </c>
      <c r="G35" s="50" t="s">
        <v>676</v>
      </c>
      <c r="H35" s="148" t="s">
        <v>738</v>
      </c>
      <c r="I35" s="50"/>
      <c r="J35" s="106">
        <v>1</v>
      </c>
      <c r="K35" s="106"/>
      <c r="L35" s="106"/>
      <c r="M35" s="106"/>
      <c r="N35" s="106"/>
      <c r="O35" s="108">
        <v>1</v>
      </c>
      <c r="P35" s="149"/>
    </row>
    <row r="36" spans="1:16" ht="50.1" customHeight="1" x14ac:dyDescent="0.3">
      <c r="A36" s="143">
        <v>33</v>
      </c>
      <c r="B36" s="174" t="s">
        <v>643</v>
      </c>
      <c r="C36" s="144" t="s">
        <v>424</v>
      </c>
      <c r="D36" s="143">
        <v>7</v>
      </c>
      <c r="E36" s="145">
        <v>43811</v>
      </c>
      <c r="F36" s="143">
        <v>17</v>
      </c>
      <c r="G36" s="50" t="s">
        <v>742</v>
      </c>
      <c r="H36" s="148" t="s">
        <v>738</v>
      </c>
      <c r="I36" s="50"/>
      <c r="J36" s="106">
        <v>1</v>
      </c>
      <c r="K36" s="106"/>
      <c r="L36" s="106"/>
      <c r="M36" s="106"/>
      <c r="N36" s="106"/>
      <c r="O36" s="108">
        <v>1</v>
      </c>
      <c r="P36" s="149"/>
    </row>
    <row r="37" spans="1:16" s="141" customFormat="1" ht="50.1" customHeight="1" x14ac:dyDescent="0.3">
      <c r="A37" s="143">
        <v>34</v>
      </c>
      <c r="B37" s="173" t="s">
        <v>677</v>
      </c>
      <c r="C37" s="144" t="s">
        <v>678</v>
      </c>
      <c r="D37" s="143">
        <v>42</v>
      </c>
      <c r="E37" s="145">
        <v>44011</v>
      </c>
      <c r="F37" s="143">
        <v>19</v>
      </c>
      <c r="G37" s="50" t="s">
        <v>743</v>
      </c>
      <c r="H37" s="148" t="s">
        <v>738</v>
      </c>
      <c r="I37" s="50"/>
      <c r="J37" s="106">
        <v>1</v>
      </c>
      <c r="K37" s="106"/>
      <c r="L37" s="106"/>
      <c r="M37" s="106"/>
      <c r="N37" s="106"/>
      <c r="O37" s="108">
        <v>1</v>
      </c>
      <c r="P37" s="149"/>
    </row>
    <row r="38" spans="1:16" s="141" customFormat="1" ht="50.1" customHeight="1" x14ac:dyDescent="0.3">
      <c r="A38" s="143">
        <v>35</v>
      </c>
      <c r="B38" s="173" t="s">
        <v>647</v>
      </c>
      <c r="C38" s="144" t="s">
        <v>424</v>
      </c>
      <c r="D38" s="143">
        <v>9</v>
      </c>
      <c r="E38" s="145">
        <v>44011</v>
      </c>
      <c r="F38" s="143">
        <v>17</v>
      </c>
      <c r="G38" s="50" t="s">
        <v>742</v>
      </c>
      <c r="H38" s="148" t="s">
        <v>738</v>
      </c>
      <c r="I38" s="50"/>
      <c r="J38" s="106">
        <v>1</v>
      </c>
      <c r="K38" s="106"/>
      <c r="L38" s="106"/>
      <c r="M38" s="106"/>
      <c r="N38" s="106"/>
      <c r="O38" s="108">
        <v>1</v>
      </c>
      <c r="P38" s="149"/>
    </row>
    <row r="39" spans="1:16" s="141" customFormat="1" ht="54.65" customHeight="1" x14ac:dyDescent="0.3">
      <c r="A39" s="143">
        <v>36</v>
      </c>
      <c r="B39" s="173" t="s">
        <v>698</v>
      </c>
      <c r="C39" s="144" t="s">
        <v>678</v>
      </c>
      <c r="D39" s="143" t="s">
        <v>696</v>
      </c>
      <c r="E39" s="145">
        <v>44071</v>
      </c>
      <c r="F39" s="143">
        <v>18</v>
      </c>
      <c r="G39" s="50" t="s">
        <v>743</v>
      </c>
      <c r="H39" s="148" t="s">
        <v>738</v>
      </c>
      <c r="I39" s="50"/>
      <c r="J39" s="106">
        <v>1</v>
      </c>
      <c r="K39" s="106"/>
      <c r="L39" s="106"/>
      <c r="M39" s="106"/>
      <c r="N39" s="106"/>
      <c r="O39" s="108">
        <v>1</v>
      </c>
      <c r="P39" s="149"/>
    </row>
    <row r="40" spans="1:16" ht="54.65" customHeight="1" x14ac:dyDescent="0.3">
      <c r="B40" s="161"/>
    </row>
    <row r="41" spans="1:16" ht="38.049999999999997" customHeight="1" x14ac:dyDescent="0.3"/>
    <row r="42" spans="1:16" ht="38.049999999999997" customHeight="1" x14ac:dyDescent="0.3">
      <c r="B42" s="161"/>
    </row>
    <row r="43" spans="1:16" ht="38.049999999999997" customHeight="1" x14ac:dyDescent="0.3">
      <c r="B43" s="161"/>
    </row>
  </sheetData>
  <mergeCells count="12">
    <mergeCell ref="A1:P1"/>
    <mergeCell ref="I2:J2"/>
    <mergeCell ref="O2:O3"/>
    <mergeCell ref="P2:P3"/>
    <mergeCell ref="K2:N2"/>
    <mergeCell ref="H2:H3"/>
    <mergeCell ref="G2:G3"/>
    <mergeCell ref="F2:F3"/>
    <mergeCell ref="E2:E3"/>
    <mergeCell ref="A2:A3"/>
    <mergeCell ref="B2:B3"/>
    <mergeCell ref="C2:D2"/>
  </mergeCell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7" tint="-0.249977111117893"/>
    <pageSetUpPr fitToPage="1"/>
  </sheetPr>
  <dimension ref="A1:L39"/>
  <sheetViews>
    <sheetView view="pageBreakPreview" zoomScale="60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35" sqref="D35"/>
    </sheetView>
  </sheetViews>
  <sheetFormatPr defaultColWidth="9.33203125" defaultRowHeight="29.6" customHeight="1" x14ac:dyDescent="0.3"/>
  <cols>
    <col min="1" max="1" width="7.44140625" style="135" customWidth="1"/>
    <col min="2" max="2" width="21" style="135" customWidth="1"/>
    <col min="3" max="3" width="21.33203125" style="135" customWidth="1"/>
    <col min="4" max="4" width="38.6640625" style="135" customWidth="1"/>
    <col min="5" max="5" width="12.33203125" style="135" customWidth="1"/>
    <col min="6" max="7" width="11.33203125" style="135" customWidth="1"/>
    <col min="8" max="8" width="14.6640625" style="134" customWidth="1"/>
    <col min="9" max="9" width="16" style="189" customWidth="1"/>
    <col min="10" max="10" width="10.33203125" style="135" customWidth="1"/>
    <col min="11" max="11" width="9.33203125" style="159"/>
    <col min="12" max="12" width="16.6640625" style="107" customWidth="1"/>
    <col min="13" max="16384" width="9.33203125" style="107"/>
  </cols>
  <sheetData>
    <row r="1" spans="1:12" ht="102.7" customHeight="1" x14ac:dyDescent="0.3">
      <c r="D1" s="135" t="s">
        <v>754</v>
      </c>
    </row>
    <row r="2" spans="1:12" s="183" customFormat="1" ht="29.6" customHeight="1" x14ac:dyDescent="0.3">
      <c r="A2" s="181" t="s">
        <v>76</v>
      </c>
      <c r="B2" s="181" t="s">
        <v>666</v>
      </c>
      <c r="C2" s="181" t="s">
        <v>74</v>
      </c>
      <c r="D2" s="179" t="s">
        <v>26</v>
      </c>
      <c r="E2" s="179" t="s">
        <v>27</v>
      </c>
      <c r="F2" s="181" t="s">
        <v>21</v>
      </c>
      <c r="G2" s="182" t="s">
        <v>750</v>
      </c>
      <c r="H2" s="181" t="s">
        <v>389</v>
      </c>
      <c r="I2" s="181" t="s">
        <v>377</v>
      </c>
      <c r="J2" s="181" t="s">
        <v>409</v>
      </c>
      <c r="K2" s="180" t="s">
        <v>325</v>
      </c>
      <c r="L2" s="104" t="s">
        <v>751</v>
      </c>
    </row>
    <row r="3" spans="1:12" ht="50.1" hidden="1" customHeight="1" x14ac:dyDescent="0.3">
      <c r="A3" s="143">
        <v>1</v>
      </c>
      <c r="B3" s="184" t="s">
        <v>31</v>
      </c>
      <c r="C3" s="143" t="s">
        <v>63</v>
      </c>
      <c r="D3" s="144" t="s">
        <v>29</v>
      </c>
      <c r="E3" s="143" t="s">
        <v>30</v>
      </c>
      <c r="F3" s="143">
        <v>9</v>
      </c>
      <c r="G3" s="143">
        <v>147</v>
      </c>
      <c r="H3" s="147">
        <v>2338</v>
      </c>
      <c r="I3" s="146">
        <v>12917.7</v>
      </c>
      <c r="J3" s="143">
        <v>2006</v>
      </c>
      <c r="K3" s="185">
        <v>0.11133333333333334</v>
      </c>
      <c r="L3" s="186" t="s">
        <v>752</v>
      </c>
    </row>
    <row r="4" spans="1:12" ht="50.1" hidden="1" customHeight="1" x14ac:dyDescent="0.3">
      <c r="A4" s="143">
        <v>2</v>
      </c>
      <c r="B4" s="184" t="s">
        <v>36</v>
      </c>
      <c r="C4" s="143" t="s">
        <v>63</v>
      </c>
      <c r="D4" s="144" t="s">
        <v>29</v>
      </c>
      <c r="E4" s="143" t="s">
        <v>35</v>
      </c>
      <c r="F4" s="143">
        <v>9</v>
      </c>
      <c r="G4" s="143">
        <v>142</v>
      </c>
      <c r="H4" s="147">
        <v>2899</v>
      </c>
      <c r="I4" s="146">
        <v>11983.5</v>
      </c>
      <c r="J4" s="143">
        <v>2007</v>
      </c>
      <c r="K4" s="185">
        <v>0.104</v>
      </c>
      <c r="L4" s="186" t="s">
        <v>752</v>
      </c>
    </row>
    <row r="5" spans="1:12" ht="74.05" hidden="1" customHeight="1" x14ac:dyDescent="0.3">
      <c r="A5" s="143">
        <v>3</v>
      </c>
      <c r="B5" s="184" t="s">
        <v>1</v>
      </c>
      <c r="C5" s="143" t="s">
        <v>64</v>
      </c>
      <c r="D5" s="144" t="s">
        <v>37</v>
      </c>
      <c r="E5" s="143">
        <v>5</v>
      </c>
      <c r="F5" s="143">
        <v>10</v>
      </c>
      <c r="G5" s="143">
        <v>54</v>
      </c>
      <c r="H5" s="147">
        <v>661</v>
      </c>
      <c r="I5" s="146">
        <v>2355</v>
      </c>
      <c r="J5" s="143">
        <v>2008</v>
      </c>
      <c r="K5" s="185">
        <v>0.11916666666666666</v>
      </c>
      <c r="L5" s="186" t="s">
        <v>752</v>
      </c>
    </row>
    <row r="6" spans="1:12" ht="50.1" hidden="1" customHeight="1" x14ac:dyDescent="0.3">
      <c r="A6" s="143">
        <v>4</v>
      </c>
      <c r="B6" s="184" t="s">
        <v>40</v>
      </c>
      <c r="C6" s="143" t="s">
        <v>64</v>
      </c>
      <c r="D6" s="144" t="s">
        <v>39</v>
      </c>
      <c r="E6" s="143">
        <v>51</v>
      </c>
      <c r="F6" s="143">
        <v>12</v>
      </c>
      <c r="G6" s="143">
        <v>109</v>
      </c>
      <c r="H6" s="147">
        <v>1426.6</v>
      </c>
      <c r="I6" s="146">
        <v>7358.8</v>
      </c>
      <c r="J6" s="143">
        <v>2009</v>
      </c>
      <c r="K6" s="185">
        <v>8.4000000000000005E-2</v>
      </c>
      <c r="L6" s="186" t="s">
        <v>752</v>
      </c>
    </row>
    <row r="7" spans="1:12" ht="50.1" hidden="1" customHeight="1" x14ac:dyDescent="0.3">
      <c r="A7" s="143">
        <v>5</v>
      </c>
      <c r="B7" s="184" t="s">
        <v>0</v>
      </c>
      <c r="C7" s="143" t="s">
        <v>64</v>
      </c>
      <c r="D7" s="144" t="s">
        <v>42</v>
      </c>
      <c r="E7" s="143">
        <v>8</v>
      </c>
      <c r="F7" s="143">
        <v>10</v>
      </c>
      <c r="G7" s="143">
        <v>120</v>
      </c>
      <c r="H7" s="147">
        <v>1478.2</v>
      </c>
      <c r="I7" s="146">
        <v>8432.1</v>
      </c>
      <c r="J7" s="143">
        <v>2010</v>
      </c>
      <c r="K7" s="185">
        <v>7.4666666666666673E-2</v>
      </c>
      <c r="L7" s="186" t="s">
        <v>752</v>
      </c>
    </row>
    <row r="8" spans="1:12" ht="50.1" hidden="1" customHeight="1" x14ac:dyDescent="0.3">
      <c r="A8" s="143">
        <v>6</v>
      </c>
      <c r="B8" s="184" t="s">
        <v>3</v>
      </c>
      <c r="C8" s="143" t="s">
        <v>64</v>
      </c>
      <c r="D8" s="144" t="s">
        <v>44</v>
      </c>
      <c r="E8" s="143">
        <v>87</v>
      </c>
      <c r="F8" s="143">
        <v>10</v>
      </c>
      <c r="G8" s="143">
        <v>80</v>
      </c>
      <c r="H8" s="147">
        <v>694.8</v>
      </c>
      <c r="I8" s="146">
        <v>4226.7</v>
      </c>
      <c r="J8" s="143">
        <v>2011</v>
      </c>
      <c r="K8" s="185">
        <v>9.0833333333333335E-2</v>
      </c>
      <c r="L8" s="186" t="s">
        <v>752</v>
      </c>
    </row>
    <row r="9" spans="1:12" ht="50.1" hidden="1" customHeight="1" x14ac:dyDescent="0.3">
      <c r="A9" s="143">
        <v>7</v>
      </c>
      <c r="B9" s="184" t="s">
        <v>4</v>
      </c>
      <c r="C9" s="143" t="s">
        <v>64</v>
      </c>
      <c r="D9" s="144" t="s">
        <v>43</v>
      </c>
      <c r="E9" s="143">
        <v>19</v>
      </c>
      <c r="F9" s="149">
        <v>10</v>
      </c>
      <c r="G9" s="143">
        <v>80</v>
      </c>
      <c r="H9" s="147">
        <v>953.8</v>
      </c>
      <c r="I9" s="146">
        <v>5627.6</v>
      </c>
      <c r="J9" s="149">
        <v>2011</v>
      </c>
      <c r="K9" s="185">
        <v>7.2666666666666671E-2</v>
      </c>
      <c r="L9" s="186" t="s">
        <v>752</v>
      </c>
    </row>
    <row r="10" spans="1:12" ht="50.1" hidden="1" customHeight="1" x14ac:dyDescent="0.3">
      <c r="A10" s="143">
        <v>8</v>
      </c>
      <c r="B10" s="184" t="s">
        <v>47</v>
      </c>
      <c r="C10" s="143" t="s">
        <v>63</v>
      </c>
      <c r="D10" s="144" t="s">
        <v>45</v>
      </c>
      <c r="E10" s="143" t="s">
        <v>46</v>
      </c>
      <c r="F10" s="143" t="s">
        <v>9</v>
      </c>
      <c r="G10" s="143">
        <v>93</v>
      </c>
      <c r="H10" s="147">
        <v>1232.0999999999999</v>
      </c>
      <c r="I10" s="146">
        <v>5688.8</v>
      </c>
      <c r="J10" s="143">
        <v>2013</v>
      </c>
      <c r="K10" s="185">
        <v>0.06</v>
      </c>
      <c r="L10" s="186" t="s">
        <v>752</v>
      </c>
    </row>
    <row r="11" spans="1:12" ht="50.1" hidden="1" customHeight="1" x14ac:dyDescent="0.3">
      <c r="A11" s="143">
        <v>9</v>
      </c>
      <c r="B11" s="184" t="s">
        <v>6</v>
      </c>
      <c r="C11" s="143" t="s">
        <v>64</v>
      </c>
      <c r="D11" s="144" t="s">
        <v>48</v>
      </c>
      <c r="E11" s="143">
        <v>67</v>
      </c>
      <c r="F11" s="143" t="s">
        <v>49</v>
      </c>
      <c r="G11" s="143">
        <v>128</v>
      </c>
      <c r="H11" s="147">
        <v>1239.2</v>
      </c>
      <c r="I11" s="146">
        <v>8264.2999999999993</v>
      </c>
      <c r="J11" s="143">
        <v>2013</v>
      </c>
      <c r="K11" s="185">
        <v>5.7999999999999996E-2</v>
      </c>
      <c r="L11" s="186" t="s">
        <v>752</v>
      </c>
    </row>
    <row r="12" spans="1:12" ht="50.1" hidden="1" customHeight="1" x14ac:dyDescent="0.3">
      <c r="A12" s="143">
        <v>10</v>
      </c>
      <c r="B12" s="184" t="s">
        <v>59</v>
      </c>
      <c r="C12" s="143" t="s">
        <v>64</v>
      </c>
      <c r="D12" s="144" t="s">
        <v>44</v>
      </c>
      <c r="E12" s="143" t="s">
        <v>60</v>
      </c>
      <c r="F12" s="143" t="s">
        <v>61</v>
      </c>
      <c r="G12" s="143">
        <v>72</v>
      </c>
      <c r="H12" s="147">
        <v>587.6</v>
      </c>
      <c r="I12" s="146">
        <v>3016.8</v>
      </c>
      <c r="J12" s="143">
        <v>2013</v>
      </c>
      <c r="K12" s="185">
        <v>5.6666666666666671E-2</v>
      </c>
      <c r="L12" s="186" t="s">
        <v>752</v>
      </c>
    </row>
    <row r="13" spans="1:12" ht="50.1" hidden="1" customHeight="1" x14ac:dyDescent="0.3">
      <c r="A13" s="143">
        <v>11</v>
      </c>
      <c r="B13" s="184" t="s">
        <v>68</v>
      </c>
      <c r="C13" s="143" t="s">
        <v>64</v>
      </c>
      <c r="D13" s="144" t="s">
        <v>42</v>
      </c>
      <c r="E13" s="143">
        <v>10</v>
      </c>
      <c r="F13" s="143">
        <v>17</v>
      </c>
      <c r="G13" s="143">
        <v>128</v>
      </c>
      <c r="H13" s="147">
        <v>860</v>
      </c>
      <c r="I13" s="146">
        <v>8288.9</v>
      </c>
      <c r="J13" s="143">
        <v>2014</v>
      </c>
      <c r="K13" s="185">
        <v>5.3999999999999999E-2</v>
      </c>
      <c r="L13" s="186" t="s">
        <v>752</v>
      </c>
    </row>
    <row r="14" spans="1:12" ht="50.1" hidden="1" customHeight="1" x14ac:dyDescent="0.3">
      <c r="A14" s="143">
        <v>12</v>
      </c>
      <c r="B14" s="184" t="s">
        <v>274</v>
      </c>
      <c r="C14" s="143" t="s">
        <v>64</v>
      </c>
      <c r="D14" s="144" t="s">
        <v>278</v>
      </c>
      <c r="E14" s="143">
        <v>76</v>
      </c>
      <c r="F14" s="143" t="s">
        <v>280</v>
      </c>
      <c r="G14" s="143">
        <v>125</v>
      </c>
      <c r="H14" s="147" t="s">
        <v>513</v>
      </c>
      <c r="I14" s="146">
        <v>8073.9</v>
      </c>
      <c r="J14" s="143">
        <v>2014</v>
      </c>
      <c r="K14" s="185">
        <v>4.7999999999999994E-2</v>
      </c>
      <c r="L14" s="186" t="s">
        <v>752</v>
      </c>
    </row>
    <row r="15" spans="1:12" ht="50.1" hidden="1" customHeight="1" x14ac:dyDescent="0.3">
      <c r="A15" s="143">
        <v>13</v>
      </c>
      <c r="B15" s="184" t="s">
        <v>275</v>
      </c>
      <c r="C15" s="143" t="s">
        <v>64</v>
      </c>
      <c r="D15" s="144" t="s">
        <v>278</v>
      </c>
      <c r="E15" s="143" t="s">
        <v>279</v>
      </c>
      <c r="F15" s="143" t="s">
        <v>280</v>
      </c>
      <c r="G15" s="143">
        <v>128</v>
      </c>
      <c r="H15" s="147">
        <v>744.6</v>
      </c>
      <c r="I15" s="146">
        <v>8229.9</v>
      </c>
      <c r="J15" s="143">
        <v>2014</v>
      </c>
      <c r="K15" s="185">
        <v>4.7999999999999994E-2</v>
      </c>
      <c r="L15" s="186" t="s">
        <v>752</v>
      </c>
    </row>
    <row r="16" spans="1:12" ht="29.6" customHeight="1" x14ac:dyDescent="0.3">
      <c r="A16" s="143">
        <v>14</v>
      </c>
      <c r="B16" s="184" t="s">
        <v>276</v>
      </c>
      <c r="C16" s="143" t="s">
        <v>459</v>
      </c>
      <c r="D16" s="144" t="s">
        <v>310</v>
      </c>
      <c r="E16" s="143" t="s">
        <v>311</v>
      </c>
      <c r="F16" s="143">
        <v>17</v>
      </c>
      <c r="G16" s="143">
        <v>169</v>
      </c>
      <c r="H16" s="147">
        <v>824</v>
      </c>
      <c r="I16" s="146">
        <v>8573.4</v>
      </c>
      <c r="J16" s="143">
        <v>2015</v>
      </c>
      <c r="K16" s="185">
        <v>4.7999999999999994E-2</v>
      </c>
      <c r="L16" s="186" t="s">
        <v>752</v>
      </c>
    </row>
    <row r="17" spans="1:12" ht="50.1" hidden="1" customHeight="1" x14ac:dyDescent="0.3">
      <c r="A17" s="143">
        <v>15</v>
      </c>
      <c r="B17" s="184" t="s">
        <v>277</v>
      </c>
      <c r="C17" s="143" t="s">
        <v>64</v>
      </c>
      <c r="D17" s="144" t="s">
        <v>320</v>
      </c>
      <c r="E17" s="143">
        <v>28</v>
      </c>
      <c r="F17" s="143">
        <v>17</v>
      </c>
      <c r="G17" s="143">
        <v>143</v>
      </c>
      <c r="H17" s="147">
        <v>1773.9</v>
      </c>
      <c r="I17" s="146">
        <v>8178.4</v>
      </c>
      <c r="J17" s="143">
        <v>2015</v>
      </c>
      <c r="K17" s="185">
        <v>4.6000000000000006E-2</v>
      </c>
      <c r="L17" s="186" t="s">
        <v>752</v>
      </c>
    </row>
    <row r="18" spans="1:12" ht="50.1" hidden="1" customHeight="1" x14ac:dyDescent="0.3">
      <c r="A18" s="143">
        <v>16</v>
      </c>
      <c r="B18" s="184" t="s">
        <v>369</v>
      </c>
      <c r="C18" s="143" t="s">
        <v>64</v>
      </c>
      <c r="D18" s="144" t="s">
        <v>320</v>
      </c>
      <c r="E18" s="143" t="s">
        <v>370</v>
      </c>
      <c r="F18" s="143" t="s">
        <v>371</v>
      </c>
      <c r="G18" s="143">
        <v>96</v>
      </c>
      <c r="H18" s="147">
        <v>802.5</v>
      </c>
      <c r="I18" s="146">
        <v>5313</v>
      </c>
      <c r="J18" s="143" t="s">
        <v>505</v>
      </c>
      <c r="K18" s="185">
        <v>3.8666666666666669E-2</v>
      </c>
      <c r="L18" s="186" t="s">
        <v>752</v>
      </c>
    </row>
    <row r="19" spans="1:12" ht="29.6" customHeight="1" x14ac:dyDescent="0.3">
      <c r="A19" s="143">
        <v>17</v>
      </c>
      <c r="B19" s="184" t="s">
        <v>412</v>
      </c>
      <c r="C19" s="143" t="s">
        <v>459</v>
      </c>
      <c r="D19" s="144" t="s">
        <v>413</v>
      </c>
      <c r="E19" s="143">
        <v>18</v>
      </c>
      <c r="F19" s="143">
        <v>10</v>
      </c>
      <c r="G19" s="143">
        <v>360</v>
      </c>
      <c r="H19" s="147">
        <v>2251.9</v>
      </c>
      <c r="I19" s="146">
        <v>13107.7</v>
      </c>
      <c r="J19" s="143">
        <v>2016</v>
      </c>
      <c r="K19" s="185">
        <v>3.3333333333333333E-2</v>
      </c>
      <c r="L19" s="186" t="s">
        <v>752</v>
      </c>
    </row>
    <row r="20" spans="1:12" ht="29.6" customHeight="1" x14ac:dyDescent="0.3">
      <c r="A20" s="143">
        <v>18</v>
      </c>
      <c r="B20" s="184" t="s">
        <v>421</v>
      </c>
      <c r="C20" s="143" t="s">
        <v>459</v>
      </c>
      <c r="D20" s="144" t="s">
        <v>424</v>
      </c>
      <c r="E20" s="143">
        <v>21</v>
      </c>
      <c r="F20" s="143">
        <v>17</v>
      </c>
      <c r="G20" s="143">
        <v>119</v>
      </c>
      <c r="H20" s="147">
        <v>762.2</v>
      </c>
      <c r="I20" s="146">
        <v>6348.1</v>
      </c>
      <c r="J20" s="143">
        <v>2016</v>
      </c>
      <c r="K20" s="185">
        <v>3.2000000000000001E-2</v>
      </c>
      <c r="L20" s="186" t="s">
        <v>752</v>
      </c>
    </row>
    <row r="21" spans="1:12" ht="29.6" customHeight="1" x14ac:dyDescent="0.3">
      <c r="A21" s="143">
        <v>19</v>
      </c>
      <c r="B21" s="184" t="s">
        <v>422</v>
      </c>
      <c r="C21" s="143" t="s">
        <v>459</v>
      </c>
      <c r="D21" s="144" t="s">
        <v>425</v>
      </c>
      <c r="E21" s="143">
        <v>11</v>
      </c>
      <c r="F21" s="143">
        <v>10</v>
      </c>
      <c r="G21" s="143">
        <v>436</v>
      </c>
      <c r="H21" s="147">
        <v>2251.9</v>
      </c>
      <c r="I21" s="146">
        <f>12903.6-24.3</f>
        <v>12879.300000000001</v>
      </c>
      <c r="J21" s="143">
        <v>2016</v>
      </c>
      <c r="K21" s="185">
        <v>3.2000000000000001E-2</v>
      </c>
      <c r="L21" s="186" t="s">
        <v>752</v>
      </c>
    </row>
    <row r="22" spans="1:12" ht="29.6" customHeight="1" x14ac:dyDescent="0.3">
      <c r="A22" s="143">
        <v>20</v>
      </c>
      <c r="B22" s="184" t="s">
        <v>446</v>
      </c>
      <c r="C22" s="143" t="s">
        <v>459</v>
      </c>
      <c r="D22" s="144" t="s">
        <v>447</v>
      </c>
      <c r="E22" s="143" t="s">
        <v>448</v>
      </c>
      <c r="F22" s="143">
        <v>18</v>
      </c>
      <c r="G22" s="143">
        <v>152</v>
      </c>
      <c r="H22" s="147">
        <v>878.6</v>
      </c>
      <c r="I22" s="146">
        <v>8493</v>
      </c>
      <c r="J22" s="143">
        <v>2016</v>
      </c>
      <c r="K22" s="185">
        <v>3.2000000000000001E-2</v>
      </c>
      <c r="L22" s="186" t="s">
        <v>752</v>
      </c>
    </row>
    <row r="23" spans="1:12" ht="29.6" customHeight="1" x14ac:dyDescent="0.3">
      <c r="A23" s="143">
        <v>21</v>
      </c>
      <c r="B23" s="184" t="s">
        <v>451</v>
      </c>
      <c r="C23" s="143" t="s">
        <v>459</v>
      </c>
      <c r="D23" s="144" t="s">
        <v>447</v>
      </c>
      <c r="E23" s="143" t="s">
        <v>452</v>
      </c>
      <c r="F23" s="143">
        <v>18</v>
      </c>
      <c r="G23" s="143">
        <v>164</v>
      </c>
      <c r="H23" s="147">
        <v>878.6</v>
      </c>
      <c r="I23" s="146">
        <v>8129.1</v>
      </c>
      <c r="J23" s="143">
        <v>2017</v>
      </c>
      <c r="K23" s="185">
        <v>0.03</v>
      </c>
      <c r="L23" s="186" t="s">
        <v>752</v>
      </c>
    </row>
    <row r="24" spans="1:12" ht="29.6" customHeight="1" x14ac:dyDescent="0.3">
      <c r="A24" s="143">
        <v>22</v>
      </c>
      <c r="B24" s="184" t="s">
        <v>454</v>
      </c>
      <c r="C24" s="143" t="s">
        <v>459</v>
      </c>
      <c r="D24" s="144" t="s">
        <v>447</v>
      </c>
      <c r="E24" s="143" t="s">
        <v>46</v>
      </c>
      <c r="F24" s="143">
        <v>18</v>
      </c>
      <c r="G24" s="143">
        <v>142</v>
      </c>
      <c r="H24" s="147">
        <v>944.4</v>
      </c>
      <c r="I24" s="146">
        <v>7883.5</v>
      </c>
      <c r="J24" s="143">
        <v>2017</v>
      </c>
      <c r="K24" s="185">
        <v>2.5999999999999999E-2</v>
      </c>
      <c r="L24" s="186" t="s">
        <v>752</v>
      </c>
    </row>
    <row r="25" spans="1:12" ht="29.6" customHeight="1" x14ac:dyDescent="0.3">
      <c r="A25" s="143">
        <v>23</v>
      </c>
      <c r="B25" s="184" t="s">
        <v>465</v>
      </c>
      <c r="C25" s="143" t="s">
        <v>459</v>
      </c>
      <c r="D25" s="144" t="s">
        <v>447</v>
      </c>
      <c r="E25" s="143" t="s">
        <v>456</v>
      </c>
      <c r="F25" s="143">
        <v>18</v>
      </c>
      <c r="G25" s="143">
        <v>192</v>
      </c>
      <c r="H25" s="147">
        <v>865.3</v>
      </c>
      <c r="I25" s="146">
        <v>7393.3</v>
      </c>
      <c r="J25" s="143">
        <v>2017</v>
      </c>
      <c r="K25" s="185">
        <v>2.3999999999999997E-2</v>
      </c>
      <c r="L25" s="186" t="s">
        <v>752</v>
      </c>
    </row>
    <row r="26" spans="1:12" ht="29.6" customHeight="1" x14ac:dyDescent="0.3">
      <c r="A26" s="143">
        <v>24</v>
      </c>
      <c r="B26" s="184" t="s">
        <v>457</v>
      </c>
      <c r="C26" s="143" t="s">
        <v>459</v>
      </c>
      <c r="D26" s="144" t="s">
        <v>425</v>
      </c>
      <c r="E26" s="143">
        <v>13</v>
      </c>
      <c r="F26" s="143">
        <v>16</v>
      </c>
      <c r="G26" s="143">
        <v>155</v>
      </c>
      <c r="H26" s="147">
        <v>796</v>
      </c>
      <c r="I26" s="146">
        <v>6725.8</v>
      </c>
      <c r="J26" s="143">
        <v>2018</v>
      </c>
      <c r="K26" s="185">
        <v>2.2666666666666668E-2</v>
      </c>
      <c r="L26" s="186" t="s">
        <v>752</v>
      </c>
    </row>
    <row r="27" spans="1:12" ht="29.6" customHeight="1" x14ac:dyDescent="0.3">
      <c r="A27" s="143">
        <v>25</v>
      </c>
      <c r="B27" s="184" t="s">
        <v>466</v>
      </c>
      <c r="C27" s="143" t="s">
        <v>459</v>
      </c>
      <c r="D27" s="144" t="s">
        <v>425</v>
      </c>
      <c r="E27" s="143">
        <v>15</v>
      </c>
      <c r="F27" s="143">
        <v>10</v>
      </c>
      <c r="G27" s="143">
        <v>360</v>
      </c>
      <c r="H27" s="105">
        <v>2479.9</v>
      </c>
      <c r="I27" s="146">
        <v>12033.8</v>
      </c>
      <c r="J27" s="143">
        <v>2018</v>
      </c>
      <c r="K27" s="185">
        <v>2.1333333333333333E-2</v>
      </c>
      <c r="L27" s="186" t="s">
        <v>752</v>
      </c>
    </row>
    <row r="28" spans="1:12" ht="50.1" hidden="1" customHeight="1" x14ac:dyDescent="0.3">
      <c r="A28" s="143">
        <v>26</v>
      </c>
      <c r="B28" s="184" t="s">
        <v>562</v>
      </c>
      <c r="C28" s="143" t="s">
        <v>64</v>
      </c>
      <c r="D28" s="144" t="s">
        <v>39</v>
      </c>
      <c r="E28" s="143">
        <v>48</v>
      </c>
      <c r="F28" s="143">
        <v>17</v>
      </c>
      <c r="G28" s="143">
        <v>160</v>
      </c>
      <c r="H28" s="105">
        <v>1442.9</v>
      </c>
      <c r="I28" s="146">
        <v>8176.2</v>
      </c>
      <c r="J28" s="143">
        <v>2018</v>
      </c>
      <c r="K28" s="185">
        <v>1.6666666666666666E-2</v>
      </c>
      <c r="L28" s="186" t="s">
        <v>752</v>
      </c>
    </row>
    <row r="29" spans="1:12" ht="29.6" customHeight="1" x14ac:dyDescent="0.3">
      <c r="A29" s="143">
        <v>27</v>
      </c>
      <c r="B29" s="184" t="s">
        <v>563</v>
      </c>
      <c r="C29" s="143" t="s">
        <v>459</v>
      </c>
      <c r="D29" s="144" t="s">
        <v>424</v>
      </c>
      <c r="E29" s="143">
        <v>3</v>
      </c>
      <c r="F29" s="143">
        <v>17</v>
      </c>
      <c r="G29" s="143">
        <v>208</v>
      </c>
      <c r="H29" s="147">
        <v>949.2</v>
      </c>
      <c r="I29" s="146">
        <v>7304.9</v>
      </c>
      <c r="J29" s="143">
        <v>2018</v>
      </c>
      <c r="K29" s="185">
        <v>1.6E-2</v>
      </c>
      <c r="L29" s="186" t="s">
        <v>752</v>
      </c>
    </row>
    <row r="30" spans="1:12" ht="29.6" customHeight="1" x14ac:dyDescent="0.3">
      <c r="A30" s="143">
        <v>28</v>
      </c>
      <c r="B30" s="184" t="s">
        <v>618</v>
      </c>
      <c r="C30" s="143" t="s">
        <v>459</v>
      </c>
      <c r="D30" s="144" t="s">
        <v>413</v>
      </c>
      <c r="E30" s="143">
        <v>14</v>
      </c>
      <c r="F30" s="143">
        <v>19</v>
      </c>
      <c r="G30" s="143">
        <v>234</v>
      </c>
      <c r="H30" s="147">
        <v>854.4</v>
      </c>
      <c r="I30" s="146">
        <v>8327.5</v>
      </c>
      <c r="J30" s="143">
        <v>2019</v>
      </c>
      <c r="K30" s="185">
        <v>1.1999999999999999E-2</v>
      </c>
      <c r="L30" s="186" t="s">
        <v>752</v>
      </c>
    </row>
    <row r="31" spans="1:12" ht="29.6" customHeight="1" x14ac:dyDescent="0.3">
      <c r="A31" s="143">
        <v>29</v>
      </c>
      <c r="B31" s="184" t="s">
        <v>638</v>
      </c>
      <c r="C31" s="143" t="s">
        <v>459</v>
      </c>
      <c r="D31" s="144" t="s">
        <v>640</v>
      </c>
      <c r="E31" s="143">
        <v>32</v>
      </c>
      <c r="F31" s="143">
        <v>25</v>
      </c>
      <c r="G31" s="143">
        <v>348</v>
      </c>
      <c r="H31" s="147">
        <v>1997.3</v>
      </c>
      <c r="I31" s="146">
        <v>19711.400000000001</v>
      </c>
      <c r="J31" s="143">
        <v>2019</v>
      </c>
      <c r="K31" s="185">
        <v>8.6666666666666663E-3</v>
      </c>
      <c r="L31" s="186" t="s">
        <v>752</v>
      </c>
    </row>
    <row r="32" spans="1:12" ht="17.55" hidden="1" x14ac:dyDescent="0.3">
      <c r="A32" s="143">
        <v>30</v>
      </c>
      <c r="B32" s="184" t="s">
        <v>639</v>
      </c>
      <c r="C32" s="143" t="s">
        <v>64</v>
      </c>
      <c r="D32" s="144" t="s">
        <v>39</v>
      </c>
      <c r="E32" s="143" t="s">
        <v>641</v>
      </c>
      <c r="F32" s="143">
        <v>18</v>
      </c>
      <c r="G32" s="143">
        <v>160</v>
      </c>
      <c r="H32" s="147">
        <v>1699.2</v>
      </c>
      <c r="I32" s="146">
        <v>8605.1</v>
      </c>
      <c r="J32" s="143">
        <v>2019</v>
      </c>
      <c r="K32" s="185">
        <v>8.6666666666666663E-3</v>
      </c>
      <c r="L32" s="186" t="s">
        <v>752</v>
      </c>
    </row>
    <row r="33" spans="1:12" s="159" customFormat="1" ht="29.6" customHeight="1" x14ac:dyDescent="0.3">
      <c r="A33" s="143">
        <v>31</v>
      </c>
      <c r="B33" s="187" t="s">
        <v>633</v>
      </c>
      <c r="C33" s="143" t="s">
        <v>459</v>
      </c>
      <c r="D33" s="144" t="s">
        <v>447</v>
      </c>
      <c r="E33" s="143" t="s">
        <v>35</v>
      </c>
      <c r="F33" s="143">
        <v>20</v>
      </c>
      <c r="G33" s="143">
        <v>179</v>
      </c>
      <c r="H33" s="105">
        <v>1027.0999999999999</v>
      </c>
      <c r="I33" s="146">
        <v>8822.5</v>
      </c>
      <c r="J33" s="143">
        <v>2019</v>
      </c>
      <c r="K33" s="185">
        <v>8.6666666666666663E-3</v>
      </c>
      <c r="L33" s="186" t="s">
        <v>752</v>
      </c>
    </row>
    <row r="34" spans="1:12" ht="29.6" customHeight="1" x14ac:dyDescent="0.3">
      <c r="A34" s="143">
        <v>32</v>
      </c>
      <c r="B34" s="184" t="s">
        <v>642</v>
      </c>
      <c r="C34" s="143" t="s">
        <v>459</v>
      </c>
      <c r="D34" s="144" t="s">
        <v>413</v>
      </c>
      <c r="E34" s="143">
        <v>16</v>
      </c>
      <c r="F34" s="143">
        <v>18</v>
      </c>
      <c r="G34" s="143">
        <v>198</v>
      </c>
      <c r="H34" s="147">
        <v>895.5</v>
      </c>
      <c r="I34" s="146">
        <v>8679.5</v>
      </c>
      <c r="J34" s="143">
        <v>2019</v>
      </c>
      <c r="K34" s="185">
        <v>8.6666666666666663E-3</v>
      </c>
      <c r="L34" s="186" t="s">
        <v>752</v>
      </c>
    </row>
    <row r="35" spans="1:12" ht="29.6" customHeight="1" x14ac:dyDescent="0.3">
      <c r="A35" s="143">
        <v>33</v>
      </c>
      <c r="B35" s="187" t="s">
        <v>643</v>
      </c>
      <c r="C35" s="143" t="s">
        <v>459</v>
      </c>
      <c r="D35" s="144" t="s">
        <v>424</v>
      </c>
      <c r="E35" s="143">
        <v>7</v>
      </c>
      <c r="F35" s="143">
        <v>17</v>
      </c>
      <c r="G35" s="143">
        <v>176</v>
      </c>
      <c r="H35" s="147">
        <v>950.7</v>
      </c>
      <c r="I35" s="146">
        <v>7846.9</v>
      </c>
      <c r="J35" s="143">
        <v>2019</v>
      </c>
      <c r="K35" s="185">
        <v>8.6666666666666663E-3</v>
      </c>
      <c r="L35" s="186" t="s">
        <v>752</v>
      </c>
    </row>
    <row r="36" spans="1:12" s="141" customFormat="1" ht="50.1" hidden="1" customHeight="1" x14ac:dyDescent="0.3">
      <c r="A36" s="143">
        <v>34</v>
      </c>
      <c r="B36" s="184" t="s">
        <v>677</v>
      </c>
      <c r="C36" s="143" t="s">
        <v>64</v>
      </c>
      <c r="D36" s="144" t="s">
        <v>678</v>
      </c>
      <c r="E36" s="143">
        <v>42</v>
      </c>
      <c r="F36" s="143">
        <v>19</v>
      </c>
      <c r="G36" s="143">
        <v>171</v>
      </c>
      <c r="H36" s="147">
        <v>904</v>
      </c>
      <c r="I36" s="146">
        <v>9284.6</v>
      </c>
      <c r="J36" s="143">
        <v>2020</v>
      </c>
      <c r="K36" s="178">
        <v>4.0000000000000001E-3</v>
      </c>
      <c r="L36" s="186" t="s">
        <v>752</v>
      </c>
    </row>
    <row r="37" spans="1:12" s="141" customFormat="1" ht="29.6" customHeight="1" x14ac:dyDescent="0.3">
      <c r="A37" s="143">
        <v>35</v>
      </c>
      <c r="B37" s="184" t="s">
        <v>647</v>
      </c>
      <c r="C37" s="143" t="s">
        <v>459</v>
      </c>
      <c r="D37" s="144" t="s">
        <v>424</v>
      </c>
      <c r="E37" s="143">
        <v>9</v>
      </c>
      <c r="F37" s="143">
        <v>17</v>
      </c>
      <c r="G37" s="143">
        <v>204</v>
      </c>
      <c r="H37" s="147">
        <v>879.9</v>
      </c>
      <c r="I37" s="146">
        <v>7980.9</v>
      </c>
      <c r="J37" s="143">
        <v>2020</v>
      </c>
      <c r="K37" s="178">
        <v>4.0000000000000001E-3</v>
      </c>
      <c r="L37" s="186" t="s">
        <v>752</v>
      </c>
    </row>
    <row r="38" spans="1:12" s="141" customFormat="1" ht="54.65" hidden="1" customHeight="1" x14ac:dyDescent="0.3">
      <c r="A38" s="143"/>
      <c r="B38" s="184" t="s">
        <v>698</v>
      </c>
      <c r="C38" s="143" t="s">
        <v>64</v>
      </c>
      <c r="D38" s="144" t="s">
        <v>678</v>
      </c>
      <c r="E38" s="143" t="s">
        <v>696</v>
      </c>
      <c r="F38" s="143">
        <v>18</v>
      </c>
      <c r="G38" s="143">
        <v>190</v>
      </c>
      <c r="H38" s="147">
        <v>899.7</v>
      </c>
      <c r="I38" s="146">
        <v>9140.6</v>
      </c>
      <c r="J38" s="143">
        <v>2020</v>
      </c>
      <c r="K38" s="178">
        <v>2.6666666666666666E-3</v>
      </c>
      <c r="L38" s="186" t="s">
        <v>752</v>
      </c>
    </row>
    <row r="39" spans="1:12" ht="29.6" customHeight="1" x14ac:dyDescent="0.3">
      <c r="B39" s="188"/>
    </row>
  </sheetData>
  <autoFilter ref="A2:L38">
    <filterColumn colId="2">
      <filters>
        <filter val="Автозаводский"/>
      </filters>
    </filterColumn>
  </autoFilter>
  <printOptions horizontalCentered="1"/>
  <pageMargins left="0.11811023622047245" right="0.11811023622047245" top="0.11811023622047245" bottom="0.11811023622047245" header="0.11811023622047245" footer="0.11811023622047245"/>
  <pageSetup paperSize="9" scale="6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O54"/>
  <sheetViews>
    <sheetView topLeftCell="A37" zoomScale="70" zoomScaleNormal="70" workbookViewId="0">
      <selection activeCell="C51" sqref="C51"/>
    </sheetView>
  </sheetViews>
  <sheetFormatPr defaultRowHeight="26.65" customHeight="1" x14ac:dyDescent="0.3"/>
  <cols>
    <col min="1" max="1" width="9.44140625" customWidth="1"/>
    <col min="2" max="2" width="26.33203125" customWidth="1"/>
    <col min="3" max="3" width="95.44140625" customWidth="1"/>
    <col min="4" max="4" width="18.6640625" customWidth="1"/>
    <col min="5" max="5" width="13" customWidth="1"/>
    <col min="9" max="9" width="20.6640625" customWidth="1"/>
  </cols>
  <sheetData>
    <row r="1" spans="1:15" ht="27.55" customHeight="1" x14ac:dyDescent="0.45">
      <c r="A1" s="493" t="s">
        <v>632</v>
      </c>
      <c r="B1" s="494"/>
      <c r="C1" s="494"/>
      <c r="D1" s="495"/>
      <c r="E1" s="168"/>
      <c r="F1" s="168"/>
      <c r="G1" s="168"/>
      <c r="H1" s="168"/>
      <c r="I1" s="168"/>
    </row>
    <row r="2" spans="1:15" ht="11.6" customHeight="1" x14ac:dyDescent="0.4">
      <c r="A2" s="132"/>
      <c r="B2" s="133"/>
      <c r="C2" s="133"/>
      <c r="D2" s="133"/>
      <c r="E2" s="133"/>
      <c r="F2" s="133"/>
      <c r="G2" s="133"/>
      <c r="H2" s="133"/>
      <c r="I2" s="133"/>
    </row>
    <row r="3" spans="1:15" ht="30.7" customHeight="1" x14ac:dyDescent="0.3">
      <c r="A3" s="330" t="s">
        <v>527</v>
      </c>
      <c r="B3" s="330" t="s">
        <v>528</v>
      </c>
      <c r="C3" s="330" t="s">
        <v>529</v>
      </c>
      <c r="D3" s="330" t="s">
        <v>530</v>
      </c>
      <c r="I3" s="129" t="s">
        <v>553</v>
      </c>
    </row>
    <row r="4" spans="1:15" ht="25.7" x14ac:dyDescent="0.3">
      <c r="A4" s="331">
        <v>1</v>
      </c>
      <c r="B4" s="331" t="s">
        <v>531</v>
      </c>
      <c r="C4" s="332" t="s">
        <v>532</v>
      </c>
      <c r="D4" s="331">
        <v>135</v>
      </c>
      <c r="E4" t="s">
        <v>659</v>
      </c>
      <c r="I4" s="128">
        <v>9272403694</v>
      </c>
    </row>
    <row r="5" spans="1:15" ht="25.7" x14ac:dyDescent="0.3">
      <c r="A5" s="331">
        <v>2</v>
      </c>
      <c r="B5" s="331" t="s">
        <v>533</v>
      </c>
      <c r="C5" s="333" t="s">
        <v>534</v>
      </c>
      <c r="D5" s="331">
        <v>53</v>
      </c>
      <c r="E5" t="s">
        <v>659</v>
      </c>
      <c r="I5" s="128">
        <v>9178999653</v>
      </c>
    </row>
    <row r="6" spans="1:15" ht="25.7" x14ac:dyDescent="0.3">
      <c r="A6" s="331">
        <v>3</v>
      </c>
      <c r="B6" s="331" t="s">
        <v>535</v>
      </c>
      <c r="C6" s="333" t="s">
        <v>366</v>
      </c>
      <c r="D6" s="331">
        <v>50</v>
      </c>
      <c r="E6" t="s">
        <v>659</v>
      </c>
      <c r="I6" s="128">
        <v>9173975972</v>
      </c>
    </row>
    <row r="7" spans="1:15" ht="25.7" x14ac:dyDescent="0.3">
      <c r="A7" s="331">
        <v>4</v>
      </c>
      <c r="B7" s="331" t="s">
        <v>2</v>
      </c>
      <c r="C7" s="333" t="s">
        <v>17</v>
      </c>
      <c r="D7" s="331">
        <v>32</v>
      </c>
      <c r="E7" t="s">
        <v>659</v>
      </c>
      <c r="I7" s="128">
        <v>9870008800</v>
      </c>
    </row>
    <row r="8" spans="1:15" ht="25.7" x14ac:dyDescent="0.3">
      <c r="A8" s="331">
        <v>5</v>
      </c>
      <c r="B8" s="331" t="s">
        <v>536</v>
      </c>
      <c r="C8" s="333" t="s">
        <v>537</v>
      </c>
      <c r="D8" s="331">
        <v>71</v>
      </c>
      <c r="E8" t="s">
        <v>659</v>
      </c>
      <c r="I8" s="128">
        <v>9196885564</v>
      </c>
    </row>
    <row r="9" spans="1:15" ht="25.7" x14ac:dyDescent="0.3">
      <c r="A9" s="331">
        <v>6</v>
      </c>
      <c r="B9" s="331" t="s">
        <v>4</v>
      </c>
      <c r="C9" s="333"/>
      <c r="D9" s="331"/>
      <c r="I9" s="128">
        <v>9656281484</v>
      </c>
    </row>
    <row r="10" spans="1:15" ht="25.7" x14ac:dyDescent="0.3">
      <c r="A10" s="331">
        <v>7</v>
      </c>
      <c r="B10" s="331" t="s">
        <v>538</v>
      </c>
      <c r="C10" s="333" t="s">
        <v>18</v>
      </c>
      <c r="D10" s="331">
        <v>19</v>
      </c>
      <c r="E10" t="s">
        <v>659</v>
      </c>
      <c r="I10" s="128">
        <v>9061199737</v>
      </c>
      <c r="O10" s="131"/>
    </row>
    <row r="11" spans="1:15" ht="25.7" x14ac:dyDescent="0.3">
      <c r="A11" s="331">
        <v>8</v>
      </c>
      <c r="B11" s="334" t="s">
        <v>733</v>
      </c>
      <c r="C11" s="333" t="s">
        <v>723</v>
      </c>
      <c r="D11" s="331">
        <v>36</v>
      </c>
      <c r="I11" s="128">
        <v>9061218664</v>
      </c>
    </row>
    <row r="12" spans="1:15" ht="25.7" x14ac:dyDescent="0.3">
      <c r="A12" s="331">
        <v>9</v>
      </c>
      <c r="B12" s="331" t="s">
        <v>539</v>
      </c>
      <c r="C12" s="333" t="s">
        <v>540</v>
      </c>
      <c r="D12" s="331">
        <v>97</v>
      </c>
      <c r="E12" t="s">
        <v>659</v>
      </c>
      <c r="I12" s="128">
        <v>9656203050</v>
      </c>
    </row>
    <row r="13" spans="1:15" ht="25.7" x14ac:dyDescent="0.3">
      <c r="A13" s="331">
        <v>10</v>
      </c>
      <c r="B13" s="331" t="s">
        <v>541</v>
      </c>
      <c r="C13" s="333" t="s">
        <v>214</v>
      </c>
      <c r="D13" s="331">
        <v>10</v>
      </c>
      <c r="E13" t="s">
        <v>659</v>
      </c>
      <c r="I13" s="128">
        <v>9196997565</v>
      </c>
    </row>
    <row r="14" spans="1:15" ht="25.7" x14ac:dyDescent="0.3">
      <c r="A14" s="331">
        <v>11</v>
      </c>
      <c r="B14" s="331" t="s">
        <v>215</v>
      </c>
      <c r="C14" s="333" t="s">
        <v>542</v>
      </c>
      <c r="D14" s="331">
        <v>28</v>
      </c>
      <c r="E14" t="s">
        <v>659</v>
      </c>
      <c r="I14" s="128">
        <v>9656105455</v>
      </c>
    </row>
    <row r="15" spans="1:15" ht="25.7" x14ac:dyDescent="0.3">
      <c r="A15" s="331">
        <v>12</v>
      </c>
      <c r="B15" s="331" t="s">
        <v>313</v>
      </c>
      <c r="C15" s="333" t="s">
        <v>314</v>
      </c>
      <c r="D15" s="331">
        <v>43</v>
      </c>
      <c r="I15" s="128">
        <v>9196439949</v>
      </c>
    </row>
    <row r="16" spans="1:15" ht="25.7" x14ac:dyDescent="0.3">
      <c r="A16" s="331">
        <v>13</v>
      </c>
      <c r="B16" s="331" t="s">
        <v>315</v>
      </c>
      <c r="C16" s="333" t="s">
        <v>726</v>
      </c>
      <c r="D16" s="331">
        <v>56</v>
      </c>
      <c r="I16" s="128">
        <v>9178872184</v>
      </c>
    </row>
    <row r="17" spans="1:9" ht="25.7" x14ac:dyDescent="0.3">
      <c r="A17" s="331">
        <v>14</v>
      </c>
      <c r="B17" s="331" t="s">
        <v>317</v>
      </c>
      <c r="C17" s="333" t="s">
        <v>543</v>
      </c>
      <c r="D17" s="331">
        <v>130</v>
      </c>
      <c r="E17" t="s">
        <v>659</v>
      </c>
      <c r="I17" s="128">
        <v>9047676083</v>
      </c>
    </row>
    <row r="18" spans="1:9" ht="25.7" x14ac:dyDescent="0.3">
      <c r="A18" s="331">
        <v>15</v>
      </c>
      <c r="B18" s="331" t="s">
        <v>319</v>
      </c>
      <c r="C18" s="333" t="s">
        <v>544</v>
      </c>
      <c r="D18" s="331">
        <v>111</v>
      </c>
      <c r="E18" t="s">
        <v>659</v>
      </c>
      <c r="I18" s="128">
        <v>9172796798</v>
      </c>
    </row>
    <row r="19" spans="1:9" ht="25.7" x14ac:dyDescent="0.3">
      <c r="A19" s="331">
        <v>16</v>
      </c>
      <c r="B19" s="331" t="s">
        <v>369</v>
      </c>
      <c r="C19" s="333" t="s">
        <v>545</v>
      </c>
      <c r="D19" s="331">
        <v>28</v>
      </c>
      <c r="I19" s="128">
        <v>9178970107</v>
      </c>
    </row>
    <row r="20" spans="1:9" ht="25.7" x14ac:dyDescent="0.3">
      <c r="A20" s="331">
        <v>17</v>
      </c>
      <c r="B20" s="331" t="s">
        <v>412</v>
      </c>
      <c r="C20" s="333" t="s">
        <v>546</v>
      </c>
      <c r="D20" s="331">
        <v>192</v>
      </c>
      <c r="I20" s="130">
        <v>9274501588</v>
      </c>
    </row>
    <row r="21" spans="1:9" ht="25.7" x14ac:dyDescent="0.3">
      <c r="A21" s="331">
        <v>18</v>
      </c>
      <c r="B21" s="331" t="s">
        <v>421</v>
      </c>
      <c r="C21" s="333" t="s">
        <v>727</v>
      </c>
      <c r="D21" s="331">
        <v>86</v>
      </c>
      <c r="I21">
        <v>9270481507</v>
      </c>
    </row>
    <row r="22" spans="1:9" ht="25.7" x14ac:dyDescent="0.3">
      <c r="A22" s="331">
        <v>19</v>
      </c>
      <c r="B22" s="331" t="s">
        <v>422</v>
      </c>
      <c r="C22" s="333" t="s">
        <v>547</v>
      </c>
      <c r="D22" s="331">
        <v>301</v>
      </c>
      <c r="I22" s="128">
        <v>9397319314</v>
      </c>
    </row>
    <row r="23" spans="1:9" ht="25.7" x14ac:dyDescent="0.45">
      <c r="A23" s="331">
        <v>20</v>
      </c>
      <c r="B23" s="331" t="s">
        <v>446</v>
      </c>
      <c r="C23" s="333" t="s">
        <v>548</v>
      </c>
      <c r="D23" s="335">
        <v>145</v>
      </c>
      <c r="I23" s="130">
        <v>9033182823</v>
      </c>
    </row>
    <row r="24" spans="1:9" ht="25.7" x14ac:dyDescent="0.45">
      <c r="A24" s="331">
        <v>21</v>
      </c>
      <c r="B24" s="331" t="s">
        <v>451</v>
      </c>
      <c r="C24" s="333" t="s">
        <v>549</v>
      </c>
      <c r="D24" s="335">
        <v>132</v>
      </c>
      <c r="E24" t="s">
        <v>659</v>
      </c>
      <c r="I24" s="130">
        <v>9274951488</v>
      </c>
    </row>
    <row r="25" spans="1:9" ht="41.35" x14ac:dyDescent="0.45">
      <c r="A25" s="331">
        <v>22</v>
      </c>
      <c r="B25" s="331" t="s">
        <v>454</v>
      </c>
      <c r="C25" s="333" t="s">
        <v>551</v>
      </c>
      <c r="D25" s="335">
        <v>31</v>
      </c>
      <c r="I25" s="130" t="s">
        <v>550</v>
      </c>
    </row>
    <row r="26" spans="1:9" ht="25.7" x14ac:dyDescent="0.45">
      <c r="A26" s="331">
        <v>23</v>
      </c>
      <c r="B26" s="331" t="s">
        <v>465</v>
      </c>
      <c r="C26" s="333" t="s">
        <v>552</v>
      </c>
      <c r="D26" s="335">
        <v>165</v>
      </c>
      <c r="I26" s="130">
        <v>9178896352</v>
      </c>
    </row>
    <row r="27" spans="1:9" ht="25.7" x14ac:dyDescent="0.45">
      <c r="A27" s="331">
        <v>24</v>
      </c>
      <c r="B27" s="331" t="s">
        <v>457</v>
      </c>
      <c r="C27" s="333" t="s">
        <v>731</v>
      </c>
      <c r="D27" s="335">
        <v>12</v>
      </c>
      <c r="I27" s="167">
        <v>9370044988</v>
      </c>
    </row>
    <row r="28" spans="1:9" ht="25.7" x14ac:dyDescent="0.45">
      <c r="A28" s="331">
        <v>25</v>
      </c>
      <c r="B28" s="331" t="s">
        <v>466</v>
      </c>
      <c r="C28" s="333" t="s">
        <v>728</v>
      </c>
      <c r="D28" s="335">
        <v>211</v>
      </c>
      <c r="I28" s="130">
        <v>89297279444</v>
      </c>
    </row>
    <row r="29" spans="1:9" ht="25.7" x14ac:dyDescent="0.45">
      <c r="A29" s="331">
        <v>26</v>
      </c>
      <c r="B29" s="336" t="s">
        <v>562</v>
      </c>
      <c r="C29" s="337" t="s">
        <v>591</v>
      </c>
      <c r="D29" s="337">
        <v>19</v>
      </c>
      <c r="I29" s="165">
        <v>89172744656</v>
      </c>
    </row>
    <row r="30" spans="1:9" ht="25.7" x14ac:dyDescent="0.45">
      <c r="A30" s="331">
        <v>27</v>
      </c>
      <c r="B30" s="336" t="s">
        <v>563</v>
      </c>
      <c r="C30" s="337" t="s">
        <v>590</v>
      </c>
      <c r="D30" s="337">
        <v>17</v>
      </c>
      <c r="I30" s="165">
        <v>89375789789</v>
      </c>
    </row>
    <row r="31" spans="1:9" ht="25.7" x14ac:dyDescent="0.45">
      <c r="A31" s="331">
        <v>28</v>
      </c>
      <c r="B31" s="331" t="s">
        <v>618</v>
      </c>
      <c r="C31" s="337" t="s">
        <v>631</v>
      </c>
      <c r="D31" s="337">
        <v>124</v>
      </c>
      <c r="I31" s="130">
        <v>89600884044</v>
      </c>
    </row>
    <row r="32" spans="1:9" ht="25.7" x14ac:dyDescent="0.45">
      <c r="A32" s="331">
        <v>29</v>
      </c>
      <c r="B32" s="331" t="s">
        <v>638</v>
      </c>
      <c r="C32" s="337" t="s">
        <v>721</v>
      </c>
      <c r="D32" s="337">
        <v>162</v>
      </c>
      <c r="I32" s="166"/>
    </row>
    <row r="33" spans="1:9" ht="25.7" x14ac:dyDescent="0.45">
      <c r="A33" s="331">
        <v>30</v>
      </c>
      <c r="B33" s="331" t="s">
        <v>639</v>
      </c>
      <c r="C33" s="337" t="s">
        <v>732</v>
      </c>
      <c r="D33" s="337">
        <v>157</v>
      </c>
      <c r="I33" s="166"/>
    </row>
    <row r="34" spans="1:9" ht="25.7" x14ac:dyDescent="0.45">
      <c r="A34" s="331">
        <v>31</v>
      </c>
      <c r="B34" s="338" t="s">
        <v>660</v>
      </c>
      <c r="C34" s="337" t="s">
        <v>724</v>
      </c>
      <c r="D34" s="337">
        <v>85</v>
      </c>
      <c r="I34" s="166"/>
    </row>
    <row r="35" spans="1:9" ht="25.7" x14ac:dyDescent="0.45">
      <c r="A35" s="331">
        <v>32</v>
      </c>
      <c r="B35" s="331" t="s">
        <v>642</v>
      </c>
      <c r="C35" s="337" t="s">
        <v>725</v>
      </c>
      <c r="D35" s="337">
        <v>71</v>
      </c>
      <c r="I35" s="166"/>
    </row>
    <row r="36" spans="1:9" ht="77.05" x14ac:dyDescent="0.45">
      <c r="A36" s="331">
        <v>33</v>
      </c>
      <c r="B36" s="331" t="s">
        <v>643</v>
      </c>
      <c r="C36" s="335" t="s">
        <v>763</v>
      </c>
      <c r="D36" s="337" t="s">
        <v>764</v>
      </c>
      <c r="I36" s="166"/>
    </row>
    <row r="37" spans="1:9" ht="25.7" x14ac:dyDescent="0.45">
      <c r="A37" s="331">
        <v>34</v>
      </c>
      <c r="B37" s="331" t="s">
        <v>697</v>
      </c>
      <c r="C37" s="337" t="s">
        <v>730</v>
      </c>
      <c r="D37" s="337">
        <v>148</v>
      </c>
      <c r="I37" s="166"/>
    </row>
    <row r="38" spans="1:9" ht="25.7" x14ac:dyDescent="0.45">
      <c r="A38" s="331">
        <v>35</v>
      </c>
      <c r="B38" s="331" t="s">
        <v>647</v>
      </c>
      <c r="C38" s="337" t="s">
        <v>722</v>
      </c>
      <c r="D38" s="336">
        <v>9</v>
      </c>
      <c r="I38" s="166"/>
    </row>
    <row r="39" spans="1:9" ht="25.7" x14ac:dyDescent="0.45">
      <c r="A39" s="331">
        <v>36</v>
      </c>
      <c r="B39" s="331" t="s">
        <v>698</v>
      </c>
      <c r="C39" s="337" t="s">
        <v>729</v>
      </c>
      <c r="D39" s="337">
        <v>137</v>
      </c>
      <c r="I39" s="166"/>
    </row>
    <row r="40" spans="1:9" ht="25.7" x14ac:dyDescent="0.45">
      <c r="A40" s="331">
        <v>37</v>
      </c>
      <c r="B40" s="339" t="s">
        <v>860</v>
      </c>
      <c r="C40" s="337" t="s">
        <v>881</v>
      </c>
      <c r="D40" s="337">
        <v>19</v>
      </c>
    </row>
    <row r="41" spans="1:9" ht="25.7" x14ac:dyDescent="0.45">
      <c r="A41" s="331">
        <v>38</v>
      </c>
      <c r="B41" s="339" t="s">
        <v>765</v>
      </c>
      <c r="C41" s="337" t="s">
        <v>876</v>
      </c>
      <c r="D41" s="337">
        <v>167</v>
      </c>
    </row>
    <row r="42" spans="1:9" ht="25.7" x14ac:dyDescent="0.45">
      <c r="A42" s="331">
        <v>39</v>
      </c>
      <c r="B42" s="339" t="s">
        <v>769</v>
      </c>
      <c r="C42" s="337" t="s">
        <v>877</v>
      </c>
      <c r="D42" s="337">
        <v>66</v>
      </c>
      <c r="G42" s="162"/>
      <c r="H42" s="162"/>
    </row>
    <row r="43" spans="1:9" ht="25.7" x14ac:dyDescent="0.45">
      <c r="A43" s="331">
        <v>40</v>
      </c>
      <c r="B43" s="339" t="s">
        <v>773</v>
      </c>
      <c r="C43" s="337" t="s">
        <v>878</v>
      </c>
      <c r="D43" s="337">
        <v>18</v>
      </c>
      <c r="I43" s="162"/>
    </row>
    <row r="44" spans="1:9" ht="25.7" x14ac:dyDescent="0.45">
      <c r="A44" s="331">
        <v>41</v>
      </c>
      <c r="B44" s="339" t="s">
        <v>819</v>
      </c>
      <c r="C44" s="337" t="s">
        <v>879</v>
      </c>
      <c r="D44" s="337">
        <v>309</v>
      </c>
    </row>
    <row r="45" spans="1:9" ht="25.7" x14ac:dyDescent="0.45">
      <c r="A45" s="331">
        <v>42</v>
      </c>
      <c r="B45" s="339" t="s">
        <v>774</v>
      </c>
      <c r="C45" s="337" t="s">
        <v>880</v>
      </c>
      <c r="D45" s="337">
        <v>222</v>
      </c>
    </row>
    <row r="46" spans="1:9" ht="25.7" x14ac:dyDescent="0.45">
      <c r="A46" s="331">
        <v>43</v>
      </c>
      <c r="B46" s="339" t="s">
        <v>822</v>
      </c>
      <c r="C46" s="337" t="s">
        <v>882</v>
      </c>
      <c r="D46" s="337">
        <v>6</v>
      </c>
    </row>
    <row r="47" spans="1:9" ht="26.65" customHeight="1" x14ac:dyDescent="0.3">
      <c r="A47" s="331">
        <v>44</v>
      </c>
      <c r="B47" s="339" t="s">
        <v>883</v>
      </c>
      <c r="C47" s="166"/>
      <c r="D47" s="166"/>
    </row>
    <row r="48" spans="1:9" ht="26.65" customHeight="1" x14ac:dyDescent="0.45">
      <c r="A48" s="331">
        <v>45</v>
      </c>
      <c r="B48" s="339" t="s">
        <v>905</v>
      </c>
      <c r="C48" s="337" t="s">
        <v>964</v>
      </c>
      <c r="D48" s="337">
        <v>169</v>
      </c>
    </row>
    <row r="49" spans="1:4" ht="26.65" customHeight="1" x14ac:dyDescent="0.3">
      <c r="A49" s="331">
        <v>46</v>
      </c>
      <c r="B49" s="339" t="s">
        <v>650</v>
      </c>
      <c r="C49" s="166"/>
      <c r="D49" s="166"/>
    </row>
    <row r="50" spans="1:4" ht="26.65" customHeight="1" x14ac:dyDescent="0.3">
      <c r="A50" s="331">
        <v>47</v>
      </c>
      <c r="B50" s="339" t="s">
        <v>649</v>
      </c>
      <c r="C50" s="166"/>
      <c r="D50" s="166"/>
    </row>
    <row r="51" spans="1:4" ht="26.65" customHeight="1" x14ac:dyDescent="0.3">
      <c r="A51" s="331">
        <v>48</v>
      </c>
      <c r="B51" s="339" t="s">
        <v>904</v>
      </c>
      <c r="C51" s="166"/>
      <c r="D51" s="166"/>
    </row>
    <row r="52" spans="1:4" ht="26.65" customHeight="1" x14ac:dyDescent="0.3">
      <c r="A52" s="331">
        <v>49</v>
      </c>
      <c r="B52" s="339" t="s">
        <v>906</v>
      </c>
      <c r="C52" s="166"/>
      <c r="D52" s="166"/>
    </row>
    <row r="53" spans="1:4" ht="26.65" customHeight="1" x14ac:dyDescent="0.3">
      <c r="A53" s="331">
        <v>50</v>
      </c>
      <c r="B53" s="339" t="s">
        <v>910</v>
      </c>
      <c r="C53" s="166"/>
      <c r="D53" s="166"/>
    </row>
    <row r="54" spans="1:4" ht="26.65" customHeight="1" x14ac:dyDescent="0.3">
      <c r="A54" s="331">
        <v>51</v>
      </c>
      <c r="B54" s="339" t="s">
        <v>914</v>
      </c>
      <c r="C54" s="166"/>
      <c r="D54" s="166"/>
    </row>
  </sheetData>
  <autoFilter ref="A3:O39"/>
  <mergeCells count="1">
    <mergeCell ref="A1:D1"/>
  </mergeCells>
  <pageMargins left="0.11811023622047245" right="0.11811023622047245" top="0.11811023622047245" bottom="0.11811023622047245" header="0.11811023622047245" footer="0.11811023622047245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19</vt:i4>
      </vt:variant>
    </vt:vector>
  </HeadingPairs>
  <TitlesOfParts>
    <vt:vector size="36" baseType="lpstr">
      <vt:lpstr>Для Магдеева</vt:lpstr>
      <vt:lpstr>для грц</vt:lpstr>
      <vt:lpstr>нежилые</vt:lpstr>
      <vt:lpstr>маст + под-ды</vt:lpstr>
      <vt:lpstr>Ресурсы</vt:lpstr>
      <vt:lpstr>лифты</vt:lpstr>
      <vt:lpstr>для ПРОКУРАТУРЫ</vt:lpstr>
      <vt:lpstr>исполком</vt:lpstr>
      <vt:lpstr>старшие</vt:lpstr>
      <vt:lpstr>диспетчерам</vt:lpstr>
      <vt:lpstr>Старшие  старые</vt:lpstr>
      <vt:lpstr>Протокола  УК</vt:lpstr>
      <vt:lpstr>Бесхозные сети</vt:lpstr>
      <vt:lpstr>1 основа (2)</vt:lpstr>
      <vt:lpstr>1 основа (3)</vt:lpstr>
      <vt:lpstr>1 основа (4)</vt:lpstr>
      <vt:lpstr>Жилищный фонд</vt:lpstr>
      <vt:lpstr>'1 основа (2)'!Заголовки_для_печати</vt:lpstr>
      <vt:lpstr>'1 основа (3)'!Заголовки_для_печати</vt:lpstr>
      <vt:lpstr>'1 основа (4)'!Заголовки_для_печати</vt:lpstr>
      <vt:lpstr>диспетчерам!Заголовки_для_печати</vt:lpstr>
      <vt:lpstr>'для грц'!Заголовки_для_печати</vt:lpstr>
      <vt:lpstr>'Для Магдеева'!Заголовки_для_печати</vt:lpstr>
      <vt:lpstr>'Жилищный фонд'!Заголовки_для_печати</vt:lpstr>
      <vt:lpstr>исполком!Заголовки_для_печати</vt:lpstr>
      <vt:lpstr>'маст + под-ды'!Заголовки_для_печати</vt:lpstr>
      <vt:lpstr>'1 основа (2)'!Область_печати</vt:lpstr>
      <vt:lpstr>'1 основа (3)'!Область_печати</vt:lpstr>
      <vt:lpstr>'1 основа (4)'!Область_печати</vt:lpstr>
      <vt:lpstr>'Бесхозные сети'!Область_печати</vt:lpstr>
      <vt:lpstr>диспетчерам!Область_печати</vt:lpstr>
      <vt:lpstr>'для грц'!Область_печати</vt:lpstr>
      <vt:lpstr>'Для Магдеева'!Область_печати</vt:lpstr>
      <vt:lpstr>'Жилищный фонд'!Область_печати</vt:lpstr>
      <vt:lpstr>исполком!Область_печати</vt:lpstr>
      <vt:lpstr>'маст + под-ды'!Область_печати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</dc:creator>
  <cp:lastModifiedBy>Acer</cp:lastModifiedBy>
  <cp:lastPrinted>2026-07-09T12:26:51Z</cp:lastPrinted>
  <dcterms:created xsi:type="dcterms:W3CDTF">2013-09-18T12:48:09Z</dcterms:created>
  <dcterms:modified xsi:type="dcterms:W3CDTF">2026-07-09T12:39:42Z</dcterms:modified>
</cp:coreProperties>
</file>